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75" activeTab="1"/>
  </bookViews>
  <sheets>
    <sheet name="2% scale used for appointments" sheetId="1" r:id="rId1"/>
    <sheet name="5% scale used for appointments" sheetId="2" r:id="rId2"/>
    <sheet name="Sheet3" sheetId="3" r:id="rId3"/>
  </sheets>
  <definedNames>
    <definedName name="_xlnm.Print_Area" localSheetId="0">'2% scale used for appointments'!$A$1:$R$50</definedName>
  </definedNames>
  <calcPr calcId="145621"/>
</workbook>
</file>

<file path=xl/calcChain.xml><?xml version="1.0" encoding="utf-8"?>
<calcChain xmlns="http://schemas.openxmlformats.org/spreadsheetml/2006/main">
  <c r="Q47" i="1" l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Q7" i="1"/>
  <c r="B48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B12" i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B10" i="1"/>
  <c r="B8" i="1"/>
  <c r="U27" i="2"/>
  <c r="T27" i="2" s="1"/>
  <c r="Q48" i="1" s="1"/>
  <c r="U26" i="2"/>
  <c r="T26" i="2" s="1"/>
  <c r="Q46" i="1" s="1"/>
  <c r="N27" i="2"/>
  <c r="N26" i="2"/>
  <c r="C27" i="2"/>
  <c r="D27" i="2" s="1"/>
  <c r="E27" i="2" s="1"/>
  <c r="F27" i="2" s="1"/>
  <c r="G27" i="2" s="1"/>
  <c r="H27" i="2" s="1"/>
  <c r="I27" i="2" s="1"/>
  <c r="J27" i="2" s="1"/>
  <c r="K27" i="2" s="1"/>
  <c r="L27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N31" i="2"/>
  <c r="N30" i="2"/>
  <c r="N29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U31" i="2" l="1"/>
  <c r="U30" i="2"/>
  <c r="U29" i="2"/>
  <c r="U25" i="2"/>
  <c r="U24" i="2"/>
  <c r="U23" i="2"/>
  <c r="U22" i="2"/>
  <c r="U21" i="2"/>
  <c r="U20" i="2"/>
  <c r="U19" i="2"/>
  <c r="U18" i="2"/>
  <c r="U17" i="2"/>
  <c r="U16" i="2"/>
  <c r="U15" i="2"/>
  <c r="U14" i="2"/>
  <c r="U12" i="2"/>
  <c r="U13" i="2"/>
  <c r="U11" i="2"/>
  <c r="U10" i="2"/>
  <c r="U9" i="2"/>
  <c r="U8" i="2"/>
  <c r="U7" i="2"/>
  <c r="T31" i="2" l="1"/>
  <c r="C31" i="2"/>
  <c r="D31" i="2" s="1"/>
  <c r="E31" i="2" s="1"/>
  <c r="F31" i="2" s="1"/>
  <c r="G31" i="2" s="1"/>
  <c r="H31" i="2" s="1"/>
  <c r="I31" i="2" s="1"/>
  <c r="J31" i="2" s="1"/>
  <c r="K31" i="2" s="1"/>
  <c r="L31" i="2" s="1"/>
  <c r="T30" i="2"/>
  <c r="C30" i="2"/>
  <c r="D30" i="2" s="1"/>
  <c r="E30" i="2" s="1"/>
  <c r="F30" i="2" s="1"/>
  <c r="G30" i="2" s="1"/>
  <c r="H30" i="2" s="1"/>
  <c r="I30" i="2" s="1"/>
  <c r="J30" i="2" s="1"/>
  <c r="K30" i="2" s="1"/>
  <c r="L30" i="2" s="1"/>
  <c r="T29" i="2"/>
  <c r="C29" i="2"/>
  <c r="D29" i="2" s="1"/>
  <c r="E29" i="2" s="1"/>
  <c r="F29" i="2" s="1"/>
  <c r="G29" i="2" s="1"/>
  <c r="H29" i="2" s="1"/>
  <c r="I29" i="2" s="1"/>
  <c r="J29" i="2" s="1"/>
  <c r="K29" i="2" s="1"/>
  <c r="L29" i="2" s="1"/>
  <c r="T25" i="2"/>
  <c r="Q44" i="1" s="1"/>
  <c r="C25" i="2"/>
  <c r="D25" i="2" s="1"/>
  <c r="E25" i="2" s="1"/>
  <c r="F25" i="2" s="1"/>
  <c r="G25" i="2" s="1"/>
  <c r="H25" i="2" s="1"/>
  <c r="I25" i="2" s="1"/>
  <c r="J25" i="2" s="1"/>
  <c r="K25" i="2" s="1"/>
  <c r="L25" i="2" s="1"/>
  <c r="T24" i="2"/>
  <c r="Q42" i="1" s="1"/>
  <c r="C24" i="2"/>
  <c r="D24" i="2" s="1"/>
  <c r="E24" i="2" s="1"/>
  <c r="F24" i="2" s="1"/>
  <c r="G24" i="2" s="1"/>
  <c r="H24" i="2" s="1"/>
  <c r="I24" i="2" s="1"/>
  <c r="J24" i="2" s="1"/>
  <c r="K24" i="2" s="1"/>
  <c r="L24" i="2" s="1"/>
  <c r="T23" i="2"/>
  <c r="Q40" i="1" s="1"/>
  <c r="C23" i="2"/>
  <c r="D23" i="2" s="1"/>
  <c r="E23" i="2" s="1"/>
  <c r="F23" i="2" s="1"/>
  <c r="G23" i="2" s="1"/>
  <c r="H23" i="2" s="1"/>
  <c r="I23" i="2" s="1"/>
  <c r="J23" i="2" s="1"/>
  <c r="K23" i="2" s="1"/>
  <c r="L23" i="2" s="1"/>
  <c r="T22" i="2"/>
  <c r="Q38" i="1" s="1"/>
  <c r="C22" i="2"/>
  <c r="D22" i="2" s="1"/>
  <c r="E22" i="2" s="1"/>
  <c r="F22" i="2" s="1"/>
  <c r="G22" i="2" s="1"/>
  <c r="H22" i="2" s="1"/>
  <c r="I22" i="2" s="1"/>
  <c r="J22" i="2" s="1"/>
  <c r="K22" i="2" s="1"/>
  <c r="L22" i="2" s="1"/>
  <c r="T21" i="2"/>
  <c r="Q36" i="1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T20" i="2"/>
  <c r="Q34" i="1" s="1"/>
  <c r="C20" i="2"/>
  <c r="D20" i="2" s="1"/>
  <c r="E20" i="2" s="1"/>
  <c r="F20" i="2" s="1"/>
  <c r="G20" i="2" s="1"/>
  <c r="H20" i="2" s="1"/>
  <c r="I20" i="2" s="1"/>
  <c r="J20" i="2" s="1"/>
  <c r="K20" i="2" s="1"/>
  <c r="L20" i="2" s="1"/>
  <c r="T19" i="2"/>
  <c r="Q32" i="1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T18" i="2"/>
  <c r="Q30" i="1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T17" i="2"/>
  <c r="Q28" i="1" s="1"/>
  <c r="C17" i="2"/>
  <c r="D17" i="2" s="1"/>
  <c r="E17" i="2" s="1"/>
  <c r="F17" i="2" s="1"/>
  <c r="G17" i="2" s="1"/>
  <c r="H17" i="2" s="1"/>
  <c r="I17" i="2" s="1"/>
  <c r="J17" i="2" s="1"/>
  <c r="K17" i="2" s="1"/>
  <c r="L17" i="2" s="1"/>
  <c r="T16" i="2"/>
  <c r="Q26" i="1" s="1"/>
  <c r="C16" i="2"/>
  <c r="D16" i="2" s="1"/>
  <c r="E16" i="2" s="1"/>
  <c r="F16" i="2" s="1"/>
  <c r="G16" i="2" s="1"/>
  <c r="H16" i="2" s="1"/>
  <c r="I16" i="2" s="1"/>
  <c r="J16" i="2" s="1"/>
  <c r="K16" i="2" s="1"/>
  <c r="L16" i="2" s="1"/>
  <c r="T15" i="2"/>
  <c r="Q24" i="1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T14" i="2"/>
  <c r="Q22" i="1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T13" i="2"/>
  <c r="Q20" i="1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T12" i="2"/>
  <c r="Q18" i="1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T11" i="2"/>
  <c r="Q16" i="1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T10" i="2"/>
  <c r="Q14" i="1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T9" i="2"/>
  <c r="Q12" i="1" s="1"/>
  <c r="C9" i="2"/>
  <c r="D9" i="2" s="1"/>
  <c r="E9" i="2" s="1"/>
  <c r="F9" i="2" s="1"/>
  <c r="G9" i="2" s="1"/>
  <c r="H9" i="2" s="1"/>
  <c r="I9" i="2" s="1"/>
  <c r="J9" i="2" s="1"/>
  <c r="K9" i="2" s="1"/>
  <c r="L9" i="2" s="1"/>
  <c r="T8" i="2"/>
  <c r="Q10" i="1" s="1"/>
  <c r="C8" i="2"/>
  <c r="D8" i="2" s="1"/>
  <c r="E8" i="2" s="1"/>
  <c r="F8" i="2" s="1"/>
  <c r="G8" i="2" s="1"/>
  <c r="H8" i="2" s="1"/>
  <c r="I8" i="2" s="1"/>
  <c r="J8" i="2" s="1"/>
  <c r="K8" i="2" s="1"/>
  <c r="L8" i="2" s="1"/>
  <c r="T7" i="2"/>
  <c r="Q8" i="1" s="1"/>
  <c r="C7" i="2"/>
  <c r="D7" i="2" s="1"/>
  <c r="E7" i="2" s="1"/>
  <c r="F7" i="2" s="1"/>
  <c r="G7" i="2" s="1"/>
  <c r="H7" i="2" s="1"/>
  <c r="I7" i="2" s="1"/>
  <c r="J7" i="2" s="1"/>
  <c r="K7" i="2" s="1"/>
  <c r="L7" i="2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C9" i="1"/>
  <c r="D9" i="1" s="1"/>
  <c r="E9" i="1" s="1"/>
  <c r="F9" i="1" s="1"/>
  <c r="G9" i="1" s="1"/>
  <c r="H9" i="1" s="1"/>
  <c r="I9" i="1" s="1"/>
  <c r="J9" i="1" s="1"/>
  <c r="K9" i="1" s="1"/>
  <c r="L9" i="1" s="1"/>
  <c r="C8" i="1"/>
  <c r="D8" i="1" s="1"/>
  <c r="E8" i="1" s="1"/>
  <c r="F8" i="1" s="1"/>
  <c r="G8" i="1" s="1"/>
  <c r="H8" i="1" s="1"/>
  <c r="I8" i="1" s="1"/>
  <c r="J8" i="1" s="1"/>
  <c r="K8" i="1" s="1"/>
  <c r="L8" i="1" s="1"/>
  <c r="C7" i="1"/>
  <c r="D7" i="1" s="1"/>
  <c r="E7" i="1" s="1"/>
  <c r="F7" i="1" s="1"/>
  <c r="G7" i="1" s="1"/>
  <c r="H7" i="1" s="1"/>
  <c r="I7" i="1" s="1"/>
  <c r="J7" i="1" s="1"/>
  <c r="K7" i="1" s="1"/>
  <c r="L7" i="1" s="1"/>
</calcChain>
</file>

<file path=xl/sharedStrings.xml><?xml version="1.0" encoding="utf-8"?>
<sst xmlns="http://schemas.openxmlformats.org/spreadsheetml/2006/main" count="64" uniqueCount="50">
  <si>
    <r>
      <t xml:space="preserve">902 KAR 8:060 Section 3 (3)(a)&amp;(b)Keep in mind appointments are made at minimum of grade </t>
    </r>
    <r>
      <rPr>
        <sz val="11.5"/>
        <color indexed="12"/>
        <rFont val="Arial"/>
        <family val="2"/>
      </rPr>
      <t xml:space="preserve">(shown in blue) and may be allowed </t>
    </r>
  </si>
  <si>
    <r>
      <t xml:space="preserve">2% per year for each year of additional ed/exp above min class requirements with </t>
    </r>
    <r>
      <rPr>
        <b/>
        <u/>
        <sz val="11.5"/>
        <rFont val="Arial"/>
        <family val="2"/>
      </rPr>
      <t xml:space="preserve">written department approval prior to appt and </t>
    </r>
  </si>
  <si>
    <t xml:space="preserve">may not exceed the midpoint established by the grade or the new above min established midpoint </t>
  </si>
  <si>
    <r>
      <t>The figure in RED auto changes from the prior workbook (5% scale)</t>
    </r>
    <r>
      <rPr>
        <sz val="11.5"/>
        <color indexed="18"/>
        <rFont val="Arial"/>
        <family val="2"/>
      </rPr>
      <t xml:space="preserve"> by entering the approriate above min in Red in that workbook.  </t>
    </r>
  </si>
  <si>
    <r>
      <t xml:space="preserve">This above min </t>
    </r>
    <r>
      <rPr>
        <b/>
        <u/>
        <sz val="11.5"/>
        <color indexed="18"/>
        <rFont val="Arial"/>
        <family val="2"/>
      </rPr>
      <t>must be department approved in writing and advertised</t>
    </r>
    <r>
      <rPr>
        <sz val="11.5"/>
        <color indexed="18"/>
        <rFont val="Arial"/>
        <family val="2"/>
      </rPr>
      <t xml:space="preserve"> before this can be considered for new appointments. </t>
    </r>
  </si>
  <si>
    <t>Grade</t>
  </si>
  <si>
    <t>Min</t>
  </si>
  <si>
    <t>1-2%</t>
  </si>
  <si>
    <t>3- 2%</t>
  </si>
  <si>
    <t>10-2%</t>
  </si>
  <si>
    <t>11-2%</t>
  </si>
  <si>
    <t>12-2%</t>
  </si>
  <si>
    <t>13-2%</t>
  </si>
  <si>
    <t>14-2%</t>
  </si>
  <si>
    <t>MID-PO</t>
  </si>
  <si>
    <t xml:space="preserve"> </t>
  </si>
  <si>
    <r>
      <t xml:space="preserve">Blue=Minimum rate established by Comp Plan 2-01 </t>
    </r>
    <r>
      <rPr>
        <b/>
        <sz val="11.5"/>
        <color indexed="10"/>
        <rFont val="Arial"/>
        <family val="2"/>
      </rPr>
      <t>Red is new above min carried over from 5% scale requested</t>
    </r>
  </si>
  <si>
    <t xml:space="preserve">You may only change the figure in RED by manually entering a selection from the chart in columns C-L approriate </t>
  </si>
  <si>
    <t xml:space="preserve">to the new above min that you are considering, the system will automatic recalculate the new Midpoint &amp; Maximum </t>
  </si>
  <si>
    <r>
      <t xml:space="preserve">based on the new 5% entered.  </t>
    </r>
    <r>
      <rPr>
        <b/>
        <u/>
        <sz val="12"/>
        <color indexed="48"/>
        <rFont val="Arial"/>
        <family val="2"/>
      </rPr>
      <t xml:space="preserve"> All new above minimums</t>
    </r>
    <r>
      <rPr>
        <b/>
        <sz val="12"/>
        <color indexed="48"/>
        <rFont val="Arial"/>
        <family val="2"/>
      </rPr>
      <t xml:space="preserve"> must be approved by the department in writing and advertised </t>
    </r>
  </si>
  <si>
    <t xml:space="preserve"> to the public before they are placed on the MRIH 30 (co/dist number) and applied to new hires.  These must be based on </t>
  </si>
  <si>
    <t xml:space="preserve">recruitment and retention issues and 902 KAR 8:060 Section 3.  </t>
  </si>
  <si>
    <t>Minimum</t>
  </si>
  <si>
    <t>1-5%</t>
  </si>
  <si>
    <t>3-5%</t>
  </si>
  <si>
    <t>4-5%</t>
  </si>
  <si>
    <t>5-5%</t>
  </si>
  <si>
    <t>6- 5%</t>
  </si>
  <si>
    <t>7-5%</t>
  </si>
  <si>
    <t>8-5%</t>
  </si>
  <si>
    <t>9-5%</t>
  </si>
  <si>
    <t>10-5%</t>
  </si>
  <si>
    <t>11-5%</t>
  </si>
  <si>
    <t>MID/MIN</t>
  </si>
  <si>
    <t>MIDP</t>
  </si>
  <si>
    <t>MAX</t>
  </si>
  <si>
    <t>NEW</t>
  </si>
  <si>
    <t>MidP</t>
  </si>
  <si>
    <t>Max</t>
  </si>
  <si>
    <t>A</t>
  </si>
  <si>
    <t>B</t>
  </si>
  <si>
    <t>C</t>
  </si>
  <si>
    <t>2-5%</t>
  </si>
  <si>
    <t>2-2%</t>
  </si>
  <si>
    <t>4-2%</t>
  </si>
  <si>
    <t>5-2%</t>
  </si>
  <si>
    <t>6-2%</t>
  </si>
  <si>
    <t>7-2%</t>
  </si>
  <si>
    <t>8-2%</t>
  </si>
  <si>
    <t>9-2%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</si>
</sst>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.5"/>
      <name val="Arial"/>
      <family val="2"/>
    </font>
    <font>
      <sz val="11.5"/>
      <color indexed="12"/>
      <name val="Arial"/>
      <family val="2"/>
    </font>
    <font>
      <sz val="11.5"/>
      <color indexed="10"/>
      <name val="Arial"/>
      <family val="2"/>
    </font>
    <font>
      <b/>
      <u/>
      <sz val="11.5"/>
      <name val="Arial"/>
      <family val="2"/>
    </font>
    <font>
      <b/>
      <u/>
      <sz val="11.5"/>
      <color indexed="10"/>
      <name val="Arial"/>
      <family val="2"/>
    </font>
    <font>
      <sz val="11.5"/>
      <color indexed="18"/>
      <name val="Arial"/>
      <family val="2"/>
    </font>
    <font>
      <b/>
      <u/>
      <sz val="11.5"/>
      <color indexed="18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strike/>
      <sz val="11.5"/>
      <name val="Arial"/>
      <family val="2"/>
    </font>
    <font>
      <b/>
      <sz val="11.5"/>
      <color indexed="10"/>
      <name val="Arial"/>
      <family val="2"/>
    </font>
    <font>
      <sz val="11.5"/>
      <color indexed="22"/>
      <name val="Arial"/>
      <family val="2"/>
    </font>
    <font>
      <strike/>
      <sz val="11.5"/>
      <color indexed="2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u/>
      <sz val="12"/>
      <color indexed="10"/>
      <name val="Arial"/>
      <family val="2"/>
    </font>
    <font>
      <b/>
      <u/>
      <sz val="12"/>
      <color indexed="48"/>
      <name val="Arial"/>
      <family val="2"/>
    </font>
    <font>
      <b/>
      <sz val="12"/>
      <color indexed="48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2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Protection="1">
      <protection locked="0"/>
    </xf>
    <xf numFmtId="0" fontId="3" fillId="0" borderId="0" xfId="0" applyFont="1"/>
    <xf numFmtId="0" fontId="1" fillId="0" borderId="0" xfId="0" applyFont="1" applyBorder="1"/>
    <xf numFmtId="2" fontId="5" fillId="0" borderId="0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0" fontId="8" fillId="0" borderId="0" xfId="0" applyFont="1"/>
    <xf numFmtId="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2" fontId="11" fillId="0" borderId="2" xfId="0" applyNumberFormat="1" applyFont="1" applyFill="1" applyBorder="1" applyProtection="1"/>
    <xf numFmtId="2" fontId="9" fillId="0" borderId="0" xfId="0" applyNumberFormat="1" applyFont="1" applyFill="1" applyBorder="1" applyProtection="1"/>
    <xf numFmtId="2" fontId="9" fillId="0" borderId="7" xfId="0" applyNumberFormat="1" applyFont="1" applyBorder="1" applyProtection="1"/>
    <xf numFmtId="2" fontId="9" fillId="0" borderId="7" xfId="0" applyNumberFormat="1" applyFont="1" applyFill="1" applyBorder="1" applyProtection="1"/>
    <xf numFmtId="0" fontId="9" fillId="0" borderId="0" xfId="0" applyFont="1" applyProtection="1">
      <protection locked="0"/>
    </xf>
    <xf numFmtId="2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Protection="1">
      <protection locked="0"/>
    </xf>
    <xf numFmtId="0" fontId="16" fillId="0" borderId="0" xfId="0" applyFont="1" applyFill="1" applyBorder="1"/>
    <xf numFmtId="2" fontId="17" fillId="0" borderId="0" xfId="0" applyNumberFormat="1" applyFont="1" applyFill="1" applyBorder="1"/>
    <xf numFmtId="2" fontId="16" fillId="0" borderId="0" xfId="0" applyNumberFormat="1" applyFont="1" applyFill="1" applyBorder="1"/>
    <xf numFmtId="2" fontId="20" fillId="0" borderId="0" xfId="0" applyNumberFormat="1" applyFont="1" applyFill="1" applyBorder="1"/>
    <xf numFmtId="0" fontId="16" fillId="0" borderId="0" xfId="0" applyFont="1" applyFill="1" applyBorder="1" applyProtection="1">
      <protection locked="0"/>
    </xf>
    <xf numFmtId="2" fontId="19" fillId="0" borderId="0" xfId="0" applyNumberFormat="1" applyFont="1" applyFill="1" applyBorder="1"/>
    <xf numFmtId="9" fontId="8" fillId="0" borderId="1" xfId="0" applyNumberFormat="1" applyFont="1" applyBorder="1" applyAlignment="1">
      <alignment horizontal="center"/>
    </xf>
    <xf numFmtId="0" fontId="21" fillId="0" borderId="0" xfId="0" applyFont="1"/>
    <xf numFmtId="4" fontId="3" fillId="0" borderId="0" xfId="0" applyNumberFormat="1" applyFont="1" applyProtection="1">
      <protection locked="0"/>
    </xf>
    <xf numFmtId="4" fontId="3" fillId="0" borderId="0" xfId="0" applyNumberFormat="1" applyFont="1" applyFill="1" applyProtection="1">
      <protection locked="0"/>
    </xf>
    <xf numFmtId="2" fontId="0" fillId="0" borderId="0" xfId="0" applyNumberFormat="1"/>
    <xf numFmtId="0" fontId="0" fillId="0" borderId="0" xfId="0" applyProtection="1">
      <protection locked="0"/>
    </xf>
    <xf numFmtId="2" fontId="1" fillId="0" borderId="0" xfId="0" applyNumberFormat="1" applyFont="1" applyProtection="1"/>
    <xf numFmtId="2" fontId="1" fillId="0" borderId="1" xfId="0" applyNumberFormat="1" applyFont="1" applyBorder="1" applyProtection="1"/>
    <xf numFmtId="0" fontId="1" fillId="0" borderId="0" xfId="0" applyFont="1" applyProtection="1"/>
    <xf numFmtId="2" fontId="1" fillId="0" borderId="0" xfId="0" applyNumberFormat="1" applyFont="1" applyFill="1" applyProtection="1"/>
    <xf numFmtId="0" fontId="11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9" fillId="0" borderId="0" xfId="0" applyNumberFormat="1" applyFont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</xf>
    <xf numFmtId="2" fontId="10" fillId="2" borderId="0" xfId="0" applyNumberFormat="1" applyFont="1" applyFill="1" applyProtection="1"/>
    <xf numFmtId="2" fontId="12" fillId="2" borderId="0" xfId="0" applyNumberFormat="1" applyFont="1" applyFill="1" applyProtection="1"/>
    <xf numFmtId="2" fontId="13" fillId="2" borderId="1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2" fontId="1" fillId="0" borderId="2" xfId="0" applyNumberFormat="1" applyFont="1" applyFill="1" applyBorder="1" applyProtection="1"/>
    <xf numFmtId="2" fontId="10" fillId="2" borderId="2" xfId="0" applyNumberFormat="1" applyFont="1" applyFill="1" applyBorder="1" applyProtection="1"/>
    <xf numFmtId="2" fontId="13" fillId="2" borderId="2" xfId="0" applyNumberFormat="1" applyFont="1" applyFill="1" applyBorder="1" applyProtection="1"/>
    <xf numFmtId="2" fontId="13" fillId="2" borderId="3" xfId="0" applyNumberFormat="1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2" fontId="13" fillId="2" borderId="0" xfId="0" applyNumberFormat="1" applyFont="1" applyFill="1" applyProtection="1"/>
    <xf numFmtId="0" fontId="8" fillId="0" borderId="6" xfId="0" applyFont="1" applyBorder="1" applyAlignment="1" applyProtection="1">
      <alignment horizontal="center"/>
    </xf>
    <xf numFmtId="2" fontId="1" fillId="0" borderId="7" xfId="0" applyNumberFormat="1" applyFont="1" applyBorder="1" applyProtection="1"/>
    <xf numFmtId="2" fontId="1" fillId="0" borderId="7" xfId="0" applyNumberFormat="1" applyFont="1" applyFill="1" applyBorder="1" applyProtection="1"/>
    <xf numFmtId="2" fontId="10" fillId="2" borderId="7" xfId="0" applyNumberFormat="1" applyFont="1" applyFill="1" applyBorder="1" applyProtection="1"/>
    <xf numFmtId="2" fontId="10" fillId="2" borderId="8" xfId="0" applyNumberFormat="1" applyFont="1" applyFill="1" applyBorder="1" applyProtection="1"/>
    <xf numFmtId="0" fontId="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2" fontId="10" fillId="2" borderId="1" xfId="0" applyNumberFormat="1" applyFont="1" applyFill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2" fontId="1" fillId="0" borderId="0" xfId="0" applyNumberFormat="1" applyFont="1" applyFill="1" applyBorder="1" applyProtection="1"/>
    <xf numFmtId="2" fontId="10" fillId="2" borderId="0" xfId="0" applyNumberFormat="1" applyFont="1" applyFill="1" applyBorder="1" applyProtection="1"/>
    <xf numFmtId="0" fontId="8" fillId="0" borderId="7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2" fontId="10" fillId="2" borderId="3" xfId="0" applyNumberFormat="1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2" fontId="1" fillId="0" borderId="2" xfId="0" applyNumberFormat="1" applyFont="1" applyBorder="1" applyProtection="1"/>
    <xf numFmtId="0" fontId="1" fillId="0" borderId="2" xfId="0" applyFont="1" applyBorder="1" applyAlignment="1" applyProtection="1">
      <alignment horizontal="center"/>
    </xf>
    <xf numFmtId="2" fontId="2" fillId="0" borderId="0" xfId="0" applyNumberFormat="1" applyFont="1" applyFill="1"/>
    <xf numFmtId="2" fontId="22" fillId="0" borderId="0" xfId="0" applyNumberFormat="1" applyFont="1" applyFill="1"/>
    <xf numFmtId="2" fontId="9" fillId="3" borderId="0" xfId="0" applyNumberFormat="1" applyFont="1" applyFill="1" applyAlignment="1">
      <alignment horizontal="center"/>
    </xf>
    <xf numFmtId="2" fontId="2" fillId="3" borderId="0" xfId="0" applyNumberFormat="1" applyFont="1" applyFill="1" applyProtection="1"/>
    <xf numFmtId="2" fontId="8" fillId="3" borderId="0" xfId="0" applyNumberFormat="1" applyFont="1" applyFill="1" applyAlignment="1">
      <alignment horizontal="center"/>
    </xf>
    <xf numFmtId="2" fontId="1" fillId="3" borderId="0" xfId="0" applyNumberFormat="1" applyFont="1" applyFill="1" applyProtection="1"/>
    <xf numFmtId="2" fontId="1" fillId="0" borderId="0" xfId="0" applyNumberFormat="1" applyFont="1" applyFill="1"/>
    <xf numFmtId="2" fontId="0" fillId="0" borderId="0" xfId="0" applyNumberFormat="1" applyFill="1"/>
    <xf numFmtId="0" fontId="1" fillId="0" borderId="0" xfId="0" applyFont="1" applyFill="1"/>
    <xf numFmtId="0" fontId="0" fillId="0" borderId="0" xfId="0" applyFill="1"/>
    <xf numFmtId="0" fontId="8" fillId="4" borderId="0" xfId="0" applyFont="1" applyFill="1" applyAlignment="1">
      <alignment horizontal="center"/>
    </xf>
    <xf numFmtId="0" fontId="1" fillId="4" borderId="0" xfId="0" applyFont="1" applyFill="1"/>
    <xf numFmtId="0" fontId="1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selection activeCell="Q7" sqref="Q7"/>
    </sheetView>
  </sheetViews>
  <sheetFormatPr defaultRowHeight="15" x14ac:dyDescent="0.25"/>
  <cols>
    <col min="1" max="1" width="9.5703125" customWidth="1"/>
  </cols>
  <sheetData>
    <row r="1" spans="1:31" x14ac:dyDescent="0.25">
      <c r="A1" s="3" t="s">
        <v>0</v>
      </c>
      <c r="B1" s="5"/>
      <c r="C1" s="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x14ac:dyDescent="0.25">
      <c r="A2" s="3" t="s">
        <v>1</v>
      </c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25">
      <c r="A3" s="3" t="s">
        <v>2</v>
      </c>
      <c r="B3" s="5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5">
      <c r="A4" s="8" t="s">
        <v>3</v>
      </c>
      <c r="B4" s="5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5">
      <c r="A5" s="9" t="s">
        <v>4</v>
      </c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41" customFormat="1" x14ac:dyDescent="0.25">
      <c r="A6" s="12" t="s">
        <v>5</v>
      </c>
      <c r="B6" s="43" t="s">
        <v>6</v>
      </c>
      <c r="C6" s="11" t="s">
        <v>7</v>
      </c>
      <c r="D6" s="11" t="s">
        <v>43</v>
      </c>
      <c r="E6" s="11" t="s">
        <v>8</v>
      </c>
      <c r="F6" s="11" t="s">
        <v>44</v>
      </c>
      <c r="G6" s="11" t="s">
        <v>45</v>
      </c>
      <c r="H6" s="11" t="s">
        <v>46</v>
      </c>
      <c r="I6" s="11" t="s">
        <v>47</v>
      </c>
      <c r="J6" s="11" t="s">
        <v>48</v>
      </c>
      <c r="K6" s="11" t="s">
        <v>49</v>
      </c>
      <c r="L6" s="12" t="s">
        <v>9</v>
      </c>
      <c r="M6" s="12" t="s">
        <v>10</v>
      </c>
      <c r="N6" s="12" t="s">
        <v>11</v>
      </c>
      <c r="O6" s="12" t="s">
        <v>12</v>
      </c>
      <c r="P6" s="13" t="s">
        <v>13</v>
      </c>
      <c r="Q6" s="14" t="s">
        <v>14</v>
      </c>
      <c r="R6" s="12" t="s">
        <v>5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1" x14ac:dyDescent="0.25">
      <c r="A7" s="45">
        <v>10</v>
      </c>
      <c r="B7" s="16">
        <v>10.1</v>
      </c>
      <c r="C7" s="38">
        <f t="shared" ref="C7:L7" si="0">ROUND(B:B*1.02, 2)</f>
        <v>10.3</v>
      </c>
      <c r="D7" s="38">
        <f t="shared" si="0"/>
        <v>10.51</v>
      </c>
      <c r="E7" s="38">
        <f t="shared" si="0"/>
        <v>10.72</v>
      </c>
      <c r="F7" s="38">
        <f t="shared" si="0"/>
        <v>10.93</v>
      </c>
      <c r="G7" s="38">
        <f t="shared" si="0"/>
        <v>11.15</v>
      </c>
      <c r="H7" s="38">
        <f t="shared" si="0"/>
        <v>11.37</v>
      </c>
      <c r="I7" s="38">
        <f t="shared" si="0"/>
        <v>11.6</v>
      </c>
      <c r="J7" s="38">
        <f t="shared" si="0"/>
        <v>11.83</v>
      </c>
      <c r="K7" s="38">
        <f t="shared" si="0"/>
        <v>12.07</v>
      </c>
      <c r="L7" s="38">
        <f t="shared" si="0"/>
        <v>12.31</v>
      </c>
      <c r="M7" s="46"/>
      <c r="N7" s="47" t="s">
        <v>15</v>
      </c>
      <c r="O7" s="47" t="s">
        <v>15</v>
      </c>
      <c r="P7" s="48"/>
      <c r="Q7" s="16">
        <f>'5% scale used for appointments'!O7</f>
        <v>12.405000000000001</v>
      </c>
      <c r="R7" s="49">
        <v>10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.75" thickBot="1" x14ac:dyDescent="0.3">
      <c r="A8" s="50"/>
      <c r="B8" s="15">
        <f>'5% scale used for appointments'!S7</f>
        <v>10.1</v>
      </c>
      <c r="C8" s="51">
        <f t="shared" ref="C8:L8" si="1">ROUND(B:B*1.02, 2)</f>
        <v>10.3</v>
      </c>
      <c r="D8" s="51">
        <f t="shared" si="1"/>
        <v>10.51</v>
      </c>
      <c r="E8" s="51">
        <f t="shared" si="1"/>
        <v>10.72</v>
      </c>
      <c r="F8" s="51">
        <f t="shared" si="1"/>
        <v>10.93</v>
      </c>
      <c r="G8" s="51">
        <f t="shared" si="1"/>
        <v>11.15</v>
      </c>
      <c r="H8" s="51">
        <f t="shared" si="1"/>
        <v>11.37</v>
      </c>
      <c r="I8" s="51">
        <f t="shared" si="1"/>
        <v>11.6</v>
      </c>
      <c r="J8" s="51">
        <f t="shared" si="1"/>
        <v>11.83</v>
      </c>
      <c r="K8" s="51">
        <f t="shared" si="1"/>
        <v>12.07</v>
      </c>
      <c r="L8" s="51">
        <f t="shared" si="1"/>
        <v>12.31</v>
      </c>
      <c r="M8" s="52"/>
      <c r="N8" s="53"/>
      <c r="O8" s="53"/>
      <c r="P8" s="54"/>
      <c r="Q8" s="15">
        <f>'5% scale used for appointments'!T7</f>
        <v>12.405000000000001</v>
      </c>
      <c r="R8" s="5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25">
      <c r="A9" s="45">
        <v>11</v>
      </c>
      <c r="B9" s="16">
        <v>10.4</v>
      </c>
      <c r="C9" s="38">
        <f t="shared" ref="C9:L9" si="2">ROUND(B:B*1.02, 2)</f>
        <v>10.61</v>
      </c>
      <c r="D9" s="38">
        <f t="shared" si="2"/>
        <v>10.82</v>
      </c>
      <c r="E9" s="38">
        <f t="shared" si="2"/>
        <v>11.04</v>
      </c>
      <c r="F9" s="38">
        <f t="shared" si="2"/>
        <v>11.26</v>
      </c>
      <c r="G9" s="38">
        <f t="shared" si="2"/>
        <v>11.49</v>
      </c>
      <c r="H9" s="38">
        <f t="shared" si="2"/>
        <v>11.72</v>
      </c>
      <c r="I9" s="38">
        <f t="shared" si="2"/>
        <v>11.95</v>
      </c>
      <c r="J9" s="38">
        <f t="shared" si="2"/>
        <v>12.19</v>
      </c>
      <c r="K9" s="38">
        <f t="shared" si="2"/>
        <v>12.43</v>
      </c>
      <c r="L9" s="38">
        <f t="shared" si="2"/>
        <v>12.68</v>
      </c>
      <c r="M9" s="46"/>
      <c r="N9" s="47" t="s">
        <v>15</v>
      </c>
      <c r="O9" s="47" t="s">
        <v>15</v>
      </c>
      <c r="P9" s="48"/>
      <c r="Q9" s="16">
        <f>'5% scale used for appointments'!O8</f>
        <v>12.815000000000001</v>
      </c>
      <c r="R9" s="49">
        <v>11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5.75" thickBot="1" x14ac:dyDescent="0.3">
      <c r="A10" s="50"/>
      <c r="B10" s="15">
        <f>'5% scale used for appointments'!S8</f>
        <v>10.4</v>
      </c>
      <c r="C10" s="51">
        <f t="shared" ref="C10:L10" si="3">ROUND(B:B*1.02, 2)</f>
        <v>10.61</v>
      </c>
      <c r="D10" s="51">
        <f t="shared" si="3"/>
        <v>10.82</v>
      </c>
      <c r="E10" s="51">
        <f t="shared" si="3"/>
        <v>11.04</v>
      </c>
      <c r="F10" s="51">
        <f t="shared" si="3"/>
        <v>11.26</v>
      </c>
      <c r="G10" s="51">
        <f t="shared" si="3"/>
        <v>11.49</v>
      </c>
      <c r="H10" s="51">
        <f t="shared" si="3"/>
        <v>11.72</v>
      </c>
      <c r="I10" s="51">
        <f t="shared" si="3"/>
        <v>11.95</v>
      </c>
      <c r="J10" s="51">
        <f t="shared" si="3"/>
        <v>12.19</v>
      </c>
      <c r="K10" s="51">
        <f t="shared" si="3"/>
        <v>12.43</v>
      </c>
      <c r="L10" s="51">
        <f t="shared" si="3"/>
        <v>12.68</v>
      </c>
      <c r="M10" s="52"/>
      <c r="N10" s="53"/>
      <c r="O10" s="53"/>
      <c r="P10" s="54"/>
      <c r="Q10" s="15">
        <f>'5% scale used for appointments'!T8</f>
        <v>12.815000000000001</v>
      </c>
      <c r="R10" s="5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45">
        <v>12</v>
      </c>
      <c r="B11" s="16">
        <v>10.62</v>
      </c>
      <c r="C11" s="38">
        <f t="shared" ref="C11:L11" si="4">ROUND(B:B*1.02, 2)</f>
        <v>10.83</v>
      </c>
      <c r="D11" s="38">
        <f t="shared" si="4"/>
        <v>11.05</v>
      </c>
      <c r="E11" s="38">
        <f t="shared" si="4"/>
        <v>11.27</v>
      </c>
      <c r="F11" s="38">
        <f t="shared" si="4"/>
        <v>11.5</v>
      </c>
      <c r="G11" s="38">
        <f t="shared" si="4"/>
        <v>11.73</v>
      </c>
      <c r="H11" s="38">
        <f t="shared" si="4"/>
        <v>11.96</v>
      </c>
      <c r="I11" s="38">
        <f t="shared" si="4"/>
        <v>12.2</v>
      </c>
      <c r="J11" s="38">
        <f t="shared" si="4"/>
        <v>12.44</v>
      </c>
      <c r="K11" s="38">
        <f t="shared" si="4"/>
        <v>12.69</v>
      </c>
      <c r="L11" s="38">
        <f t="shared" si="4"/>
        <v>12.94</v>
      </c>
      <c r="M11" s="46"/>
      <c r="N11" s="47" t="s">
        <v>15</v>
      </c>
      <c r="O11" s="47" t="s">
        <v>15</v>
      </c>
      <c r="P11" s="48"/>
      <c r="Q11" s="16">
        <f>'5% scale used for appointments'!O9</f>
        <v>13.125</v>
      </c>
      <c r="R11" s="49">
        <v>12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.75" thickBot="1" x14ac:dyDescent="0.3">
      <c r="A12" s="50"/>
      <c r="B12" s="15">
        <f>'5% scale used for appointments'!S9</f>
        <v>10.62</v>
      </c>
      <c r="C12" s="51">
        <f t="shared" ref="C12:L12" si="5">ROUND(B:B*1.02, 2)</f>
        <v>10.83</v>
      </c>
      <c r="D12" s="51">
        <f t="shared" si="5"/>
        <v>11.05</v>
      </c>
      <c r="E12" s="51">
        <f t="shared" si="5"/>
        <v>11.27</v>
      </c>
      <c r="F12" s="51">
        <f t="shared" si="5"/>
        <v>11.5</v>
      </c>
      <c r="G12" s="51">
        <f t="shared" si="5"/>
        <v>11.73</v>
      </c>
      <c r="H12" s="51">
        <f t="shared" si="5"/>
        <v>11.96</v>
      </c>
      <c r="I12" s="51">
        <f t="shared" si="5"/>
        <v>12.2</v>
      </c>
      <c r="J12" s="51">
        <f t="shared" si="5"/>
        <v>12.44</v>
      </c>
      <c r="K12" s="51">
        <f t="shared" si="5"/>
        <v>12.69</v>
      </c>
      <c r="L12" s="51">
        <f t="shared" si="5"/>
        <v>12.94</v>
      </c>
      <c r="M12" s="52"/>
      <c r="N12" s="53"/>
      <c r="O12" s="53"/>
      <c r="P12" s="54"/>
      <c r="Q12" s="15">
        <f>'5% scale used for appointments'!T9</f>
        <v>13.125</v>
      </c>
      <c r="R12" s="5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45">
        <v>13</v>
      </c>
      <c r="B13" s="16">
        <v>10.7</v>
      </c>
      <c r="C13" s="38">
        <f t="shared" ref="C13:L13" si="6">ROUND(B:B*1.02, 2)</f>
        <v>10.91</v>
      </c>
      <c r="D13" s="38">
        <f t="shared" si="6"/>
        <v>11.13</v>
      </c>
      <c r="E13" s="38">
        <f t="shared" si="6"/>
        <v>11.35</v>
      </c>
      <c r="F13" s="38">
        <f t="shared" si="6"/>
        <v>11.58</v>
      </c>
      <c r="G13" s="38">
        <f t="shared" si="6"/>
        <v>11.81</v>
      </c>
      <c r="H13" s="38">
        <f t="shared" si="6"/>
        <v>12.05</v>
      </c>
      <c r="I13" s="38">
        <f t="shared" si="6"/>
        <v>12.29</v>
      </c>
      <c r="J13" s="38">
        <f t="shared" si="6"/>
        <v>12.54</v>
      </c>
      <c r="K13" s="38">
        <f t="shared" si="6"/>
        <v>12.79</v>
      </c>
      <c r="L13" s="38">
        <f t="shared" si="6"/>
        <v>13.05</v>
      </c>
      <c r="M13" s="46"/>
      <c r="N13" s="47" t="s">
        <v>15</v>
      </c>
      <c r="O13" s="47" t="s">
        <v>15</v>
      </c>
      <c r="P13" s="48"/>
      <c r="Q13" s="16">
        <f>'5% scale used for appointments'!O10</f>
        <v>13.27</v>
      </c>
      <c r="R13" s="49">
        <v>13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.75" thickBot="1" x14ac:dyDescent="0.3">
      <c r="A14" s="50"/>
      <c r="B14" s="15">
        <f>'5% scale used for appointments'!S10</f>
        <v>10.7</v>
      </c>
      <c r="C14" s="38">
        <f t="shared" ref="C14:L14" si="7">ROUND(B:B*1.02, 2)</f>
        <v>10.91</v>
      </c>
      <c r="D14" s="38">
        <f t="shared" si="7"/>
        <v>11.13</v>
      </c>
      <c r="E14" s="38">
        <f t="shared" si="7"/>
        <v>11.35</v>
      </c>
      <c r="F14" s="38">
        <f t="shared" si="7"/>
        <v>11.58</v>
      </c>
      <c r="G14" s="38">
        <f t="shared" si="7"/>
        <v>11.81</v>
      </c>
      <c r="H14" s="38">
        <f t="shared" si="7"/>
        <v>12.05</v>
      </c>
      <c r="I14" s="38">
        <f t="shared" si="7"/>
        <v>12.29</v>
      </c>
      <c r="J14" s="38">
        <f t="shared" si="7"/>
        <v>12.54</v>
      </c>
      <c r="K14" s="38">
        <f t="shared" si="7"/>
        <v>12.79</v>
      </c>
      <c r="L14" s="38">
        <f t="shared" si="7"/>
        <v>13.05</v>
      </c>
      <c r="M14" s="46"/>
      <c r="N14" s="56"/>
      <c r="O14" s="56"/>
      <c r="P14" s="48"/>
      <c r="Q14" s="15">
        <f>'5% scale used for appointments'!T10</f>
        <v>13.27</v>
      </c>
      <c r="R14" s="5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A15" s="57">
        <v>14</v>
      </c>
      <c r="B15" s="17">
        <v>11.4</v>
      </c>
      <c r="C15" s="58">
        <f t="shared" ref="C15:L15" si="8">ROUND(B:B*1.02, 2)</f>
        <v>11.63</v>
      </c>
      <c r="D15" s="58">
        <f t="shared" si="8"/>
        <v>11.86</v>
      </c>
      <c r="E15" s="58">
        <f t="shared" si="8"/>
        <v>12.1</v>
      </c>
      <c r="F15" s="58">
        <f t="shared" si="8"/>
        <v>12.34</v>
      </c>
      <c r="G15" s="58">
        <f t="shared" si="8"/>
        <v>12.59</v>
      </c>
      <c r="H15" s="58">
        <f t="shared" si="8"/>
        <v>12.84</v>
      </c>
      <c r="I15" s="58">
        <f t="shared" si="8"/>
        <v>13.1</v>
      </c>
      <c r="J15" s="58">
        <f t="shared" si="8"/>
        <v>13.36</v>
      </c>
      <c r="K15" s="58">
        <f t="shared" si="8"/>
        <v>13.63</v>
      </c>
      <c r="L15" s="59">
        <f t="shared" si="8"/>
        <v>13.9</v>
      </c>
      <c r="M15" s="59">
        <f t="shared" ref="M15:M48" si="9">ROUND(L:L*1.02, 2)</f>
        <v>14.18</v>
      </c>
      <c r="N15" s="60"/>
      <c r="O15" s="60"/>
      <c r="P15" s="61"/>
      <c r="Q15" s="16">
        <f>'5% scale used for appointments'!O11</f>
        <v>14.18</v>
      </c>
      <c r="R15" s="62">
        <v>14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5.75" thickBot="1" x14ac:dyDescent="0.3">
      <c r="A16" s="63"/>
      <c r="B16" s="15">
        <f>'5% scale used for appointments'!S11</f>
        <v>11.4</v>
      </c>
      <c r="C16" s="35">
        <f t="shared" ref="C16:L16" si="10">ROUND(B:B*1.02, 2)</f>
        <v>11.63</v>
      </c>
      <c r="D16" s="35">
        <f t="shared" si="10"/>
        <v>11.86</v>
      </c>
      <c r="E16" s="35">
        <f t="shared" si="10"/>
        <v>12.1</v>
      </c>
      <c r="F16" s="35">
        <f t="shared" si="10"/>
        <v>12.34</v>
      </c>
      <c r="G16" s="35">
        <f t="shared" si="10"/>
        <v>12.59</v>
      </c>
      <c r="H16" s="35">
        <f t="shared" si="10"/>
        <v>12.84</v>
      </c>
      <c r="I16" s="35">
        <f t="shared" si="10"/>
        <v>13.1</v>
      </c>
      <c r="J16" s="35">
        <f t="shared" si="10"/>
        <v>13.36</v>
      </c>
      <c r="K16" s="35">
        <f t="shared" si="10"/>
        <v>13.63</v>
      </c>
      <c r="L16" s="38">
        <f t="shared" si="10"/>
        <v>13.9</v>
      </c>
      <c r="M16" s="38">
        <f t="shared" si="9"/>
        <v>14.18</v>
      </c>
      <c r="N16" s="46"/>
      <c r="O16" s="46"/>
      <c r="P16" s="64"/>
      <c r="Q16" s="15">
        <f>'5% scale used for appointments'!T11</f>
        <v>14.18</v>
      </c>
      <c r="R16" s="65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57">
        <v>15</v>
      </c>
      <c r="B17" s="17">
        <v>12.15</v>
      </c>
      <c r="C17" s="58">
        <f t="shared" ref="C17:L17" si="11">ROUND(B:B*1.02, 2)</f>
        <v>12.39</v>
      </c>
      <c r="D17" s="58">
        <f t="shared" si="11"/>
        <v>12.64</v>
      </c>
      <c r="E17" s="58">
        <f t="shared" si="11"/>
        <v>12.89</v>
      </c>
      <c r="F17" s="58">
        <f t="shared" si="11"/>
        <v>13.15</v>
      </c>
      <c r="G17" s="58">
        <f t="shared" si="11"/>
        <v>13.41</v>
      </c>
      <c r="H17" s="58">
        <f t="shared" si="11"/>
        <v>13.68</v>
      </c>
      <c r="I17" s="58">
        <f t="shared" si="11"/>
        <v>13.95</v>
      </c>
      <c r="J17" s="58">
        <f t="shared" si="11"/>
        <v>14.23</v>
      </c>
      <c r="K17" s="58">
        <f t="shared" si="11"/>
        <v>14.51</v>
      </c>
      <c r="L17" s="59">
        <f t="shared" si="11"/>
        <v>14.8</v>
      </c>
      <c r="M17" s="59">
        <f t="shared" si="9"/>
        <v>15.1</v>
      </c>
      <c r="N17" s="60"/>
      <c r="O17" s="60"/>
      <c r="P17" s="61"/>
      <c r="Q17" s="16">
        <f>'5% scale used for appointments'!O12</f>
        <v>15.164999999999999</v>
      </c>
      <c r="R17" s="62">
        <v>15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thickBot="1" x14ac:dyDescent="0.3">
      <c r="A18" s="63"/>
      <c r="B18" s="15">
        <f>'5% scale used for appointments'!S12</f>
        <v>12.15</v>
      </c>
      <c r="C18" s="35">
        <f t="shared" ref="C18:L18" si="12">ROUND(B:B*1.02, 2)</f>
        <v>12.39</v>
      </c>
      <c r="D18" s="35">
        <f t="shared" si="12"/>
        <v>12.64</v>
      </c>
      <c r="E18" s="35">
        <f t="shared" si="12"/>
        <v>12.89</v>
      </c>
      <c r="F18" s="35">
        <f t="shared" si="12"/>
        <v>13.15</v>
      </c>
      <c r="G18" s="35">
        <f t="shared" si="12"/>
        <v>13.41</v>
      </c>
      <c r="H18" s="35">
        <f t="shared" si="12"/>
        <v>13.68</v>
      </c>
      <c r="I18" s="35">
        <f t="shared" si="12"/>
        <v>13.95</v>
      </c>
      <c r="J18" s="35">
        <f t="shared" si="12"/>
        <v>14.23</v>
      </c>
      <c r="K18" s="35">
        <f t="shared" si="12"/>
        <v>14.51</v>
      </c>
      <c r="L18" s="38">
        <f t="shared" si="12"/>
        <v>14.8</v>
      </c>
      <c r="M18" s="38">
        <f t="shared" si="9"/>
        <v>15.1</v>
      </c>
      <c r="N18" s="46"/>
      <c r="O18" s="46"/>
      <c r="P18" s="64"/>
      <c r="Q18" s="15">
        <f>'5% scale used for appointments'!T12</f>
        <v>15.164999999999999</v>
      </c>
      <c r="R18" s="65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57">
        <v>16</v>
      </c>
      <c r="B19" s="17">
        <v>12.95</v>
      </c>
      <c r="C19" s="58">
        <f t="shared" ref="C19:L19" si="13">ROUND(B:B*1.02, 2)</f>
        <v>13.21</v>
      </c>
      <c r="D19" s="58">
        <f t="shared" si="13"/>
        <v>13.47</v>
      </c>
      <c r="E19" s="58">
        <f t="shared" si="13"/>
        <v>13.74</v>
      </c>
      <c r="F19" s="58">
        <f t="shared" si="13"/>
        <v>14.01</v>
      </c>
      <c r="G19" s="58">
        <f t="shared" si="13"/>
        <v>14.29</v>
      </c>
      <c r="H19" s="58">
        <f t="shared" si="13"/>
        <v>14.58</v>
      </c>
      <c r="I19" s="58">
        <f t="shared" si="13"/>
        <v>14.87</v>
      </c>
      <c r="J19" s="58">
        <f t="shared" si="13"/>
        <v>15.17</v>
      </c>
      <c r="K19" s="58">
        <f t="shared" si="13"/>
        <v>15.47</v>
      </c>
      <c r="L19" s="59">
        <f t="shared" si="13"/>
        <v>15.78</v>
      </c>
      <c r="M19" s="59">
        <f t="shared" si="9"/>
        <v>16.100000000000001</v>
      </c>
      <c r="N19" s="60"/>
      <c r="O19" s="60"/>
      <c r="P19" s="61"/>
      <c r="Q19" s="16">
        <f>'5% scale used for appointments'!O13</f>
        <v>16.215</v>
      </c>
      <c r="R19" s="62">
        <v>16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63"/>
      <c r="B20" s="15">
        <f>'5% scale used for appointments'!S13</f>
        <v>12.95</v>
      </c>
      <c r="C20" s="35">
        <f t="shared" ref="C20:L20" si="14">ROUND(B:B*1.02, 2)</f>
        <v>13.21</v>
      </c>
      <c r="D20" s="35">
        <f t="shared" si="14"/>
        <v>13.47</v>
      </c>
      <c r="E20" s="35">
        <f t="shared" si="14"/>
        <v>13.74</v>
      </c>
      <c r="F20" s="35">
        <f t="shared" si="14"/>
        <v>14.01</v>
      </c>
      <c r="G20" s="35">
        <f t="shared" si="14"/>
        <v>14.29</v>
      </c>
      <c r="H20" s="35">
        <f t="shared" si="14"/>
        <v>14.58</v>
      </c>
      <c r="I20" s="35">
        <f t="shared" si="14"/>
        <v>14.87</v>
      </c>
      <c r="J20" s="35">
        <f t="shared" si="14"/>
        <v>15.17</v>
      </c>
      <c r="K20" s="35">
        <f t="shared" si="14"/>
        <v>15.47</v>
      </c>
      <c r="L20" s="38">
        <f t="shared" si="14"/>
        <v>15.78</v>
      </c>
      <c r="M20" s="38">
        <f t="shared" si="9"/>
        <v>16.100000000000001</v>
      </c>
      <c r="N20" s="46"/>
      <c r="O20" s="46"/>
      <c r="P20" s="64"/>
      <c r="Q20" s="15">
        <f>'5% scale used for appointments'!T13</f>
        <v>16.215</v>
      </c>
      <c r="R20" s="65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57">
        <v>17</v>
      </c>
      <c r="B21" s="17">
        <v>13.81</v>
      </c>
      <c r="C21" s="58">
        <f t="shared" ref="C21:L21" si="15">ROUND(B:B*1.02, 2)</f>
        <v>14.09</v>
      </c>
      <c r="D21" s="58">
        <f t="shared" si="15"/>
        <v>14.37</v>
      </c>
      <c r="E21" s="58">
        <f t="shared" si="15"/>
        <v>14.66</v>
      </c>
      <c r="F21" s="58">
        <f t="shared" si="15"/>
        <v>14.95</v>
      </c>
      <c r="G21" s="58">
        <f t="shared" si="15"/>
        <v>15.25</v>
      </c>
      <c r="H21" s="58">
        <f t="shared" si="15"/>
        <v>15.56</v>
      </c>
      <c r="I21" s="58">
        <f t="shared" si="15"/>
        <v>15.87</v>
      </c>
      <c r="J21" s="58">
        <f t="shared" si="15"/>
        <v>16.190000000000001</v>
      </c>
      <c r="K21" s="58">
        <f t="shared" si="15"/>
        <v>16.510000000000002</v>
      </c>
      <c r="L21" s="59">
        <f t="shared" si="15"/>
        <v>16.84</v>
      </c>
      <c r="M21" s="59">
        <f t="shared" si="9"/>
        <v>17.18</v>
      </c>
      <c r="N21" s="60"/>
      <c r="O21" s="60"/>
      <c r="P21" s="61"/>
      <c r="Q21" s="16">
        <f>'5% scale used for appointments'!O14</f>
        <v>17.344999999999999</v>
      </c>
      <c r="R21" s="62">
        <v>17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thickBot="1" x14ac:dyDescent="0.3">
      <c r="A22" s="63"/>
      <c r="B22" s="15">
        <f>'5% scale used for appointments'!S14</f>
        <v>13.81</v>
      </c>
      <c r="C22" s="35">
        <f t="shared" ref="C22:L22" si="16">ROUND(B:B*1.02, 2)</f>
        <v>14.09</v>
      </c>
      <c r="D22" s="35">
        <f t="shared" si="16"/>
        <v>14.37</v>
      </c>
      <c r="E22" s="35">
        <f t="shared" si="16"/>
        <v>14.66</v>
      </c>
      <c r="F22" s="35">
        <f t="shared" si="16"/>
        <v>14.95</v>
      </c>
      <c r="G22" s="35">
        <f t="shared" si="16"/>
        <v>15.25</v>
      </c>
      <c r="H22" s="35">
        <f t="shared" si="16"/>
        <v>15.56</v>
      </c>
      <c r="I22" s="35">
        <f t="shared" si="16"/>
        <v>15.87</v>
      </c>
      <c r="J22" s="35">
        <f t="shared" si="16"/>
        <v>16.190000000000001</v>
      </c>
      <c r="K22" s="35">
        <f t="shared" si="16"/>
        <v>16.510000000000002</v>
      </c>
      <c r="L22" s="38">
        <f t="shared" si="16"/>
        <v>16.84</v>
      </c>
      <c r="M22" s="51">
        <f t="shared" si="9"/>
        <v>17.18</v>
      </c>
      <c r="N22" s="52"/>
      <c r="O22" s="46"/>
      <c r="P22" s="64"/>
      <c r="Q22" s="15">
        <f>'5% scale used for appointments'!T14</f>
        <v>17.344999999999999</v>
      </c>
      <c r="R22" s="65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x14ac:dyDescent="0.25">
      <c r="A23" s="57">
        <v>18</v>
      </c>
      <c r="B23" s="17">
        <v>14.78</v>
      </c>
      <c r="C23" s="58">
        <f t="shared" ref="C23:L23" si="17">ROUND(B:B*1.02, 2)</f>
        <v>15.08</v>
      </c>
      <c r="D23" s="58">
        <f t="shared" si="17"/>
        <v>15.38</v>
      </c>
      <c r="E23" s="58">
        <f t="shared" si="17"/>
        <v>15.69</v>
      </c>
      <c r="F23" s="58">
        <f t="shared" si="17"/>
        <v>16</v>
      </c>
      <c r="G23" s="58">
        <f t="shared" si="17"/>
        <v>16.32</v>
      </c>
      <c r="H23" s="58">
        <f t="shared" si="17"/>
        <v>16.649999999999999</v>
      </c>
      <c r="I23" s="58">
        <f t="shared" si="17"/>
        <v>16.98</v>
      </c>
      <c r="J23" s="58">
        <f t="shared" si="17"/>
        <v>17.32</v>
      </c>
      <c r="K23" s="58">
        <f t="shared" si="17"/>
        <v>17.670000000000002</v>
      </c>
      <c r="L23" s="59">
        <f t="shared" si="17"/>
        <v>18.02</v>
      </c>
      <c r="M23" s="38">
        <f t="shared" si="9"/>
        <v>18.38</v>
      </c>
      <c r="N23" s="46"/>
      <c r="O23" s="60"/>
      <c r="P23" s="61"/>
      <c r="Q23" s="16">
        <f>'5% scale used for appointments'!O15</f>
        <v>18.625</v>
      </c>
      <c r="R23" s="62">
        <v>18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5.75" thickBot="1" x14ac:dyDescent="0.3">
      <c r="A24" s="63"/>
      <c r="B24" s="15">
        <f>'5% scale used for appointments'!S15</f>
        <v>14.78</v>
      </c>
      <c r="C24" s="35">
        <f t="shared" ref="C24:L24" si="18">ROUND(B:B*1.02, 2)</f>
        <v>15.08</v>
      </c>
      <c r="D24" s="35">
        <f t="shared" si="18"/>
        <v>15.38</v>
      </c>
      <c r="E24" s="35">
        <f t="shared" si="18"/>
        <v>15.69</v>
      </c>
      <c r="F24" s="35">
        <f t="shared" si="18"/>
        <v>16</v>
      </c>
      <c r="G24" s="35">
        <f t="shared" si="18"/>
        <v>16.32</v>
      </c>
      <c r="H24" s="35">
        <f t="shared" si="18"/>
        <v>16.649999999999999</v>
      </c>
      <c r="I24" s="35">
        <f t="shared" si="18"/>
        <v>16.98</v>
      </c>
      <c r="J24" s="35">
        <f t="shared" si="18"/>
        <v>17.32</v>
      </c>
      <c r="K24" s="35">
        <f t="shared" si="18"/>
        <v>17.670000000000002</v>
      </c>
      <c r="L24" s="38">
        <f t="shared" si="18"/>
        <v>18.02</v>
      </c>
      <c r="M24" s="51">
        <f t="shared" si="9"/>
        <v>18.38</v>
      </c>
      <c r="N24" s="52"/>
      <c r="O24" s="46"/>
      <c r="P24" s="64"/>
      <c r="Q24" s="15">
        <f>'5% scale used for appointments'!T15</f>
        <v>18.625</v>
      </c>
      <c r="R24" s="65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x14ac:dyDescent="0.25">
      <c r="A25" s="57">
        <v>19</v>
      </c>
      <c r="B25" s="17">
        <v>15.79</v>
      </c>
      <c r="C25" s="58">
        <f t="shared" ref="C25:L25" si="19">ROUND(B:B*1.02, 2)</f>
        <v>16.11</v>
      </c>
      <c r="D25" s="58">
        <f t="shared" si="19"/>
        <v>16.43</v>
      </c>
      <c r="E25" s="58">
        <f t="shared" si="19"/>
        <v>16.760000000000002</v>
      </c>
      <c r="F25" s="58">
        <f t="shared" si="19"/>
        <v>17.100000000000001</v>
      </c>
      <c r="G25" s="58">
        <f t="shared" si="19"/>
        <v>17.440000000000001</v>
      </c>
      <c r="H25" s="58">
        <f t="shared" si="19"/>
        <v>17.79</v>
      </c>
      <c r="I25" s="58">
        <f t="shared" si="19"/>
        <v>18.149999999999999</v>
      </c>
      <c r="J25" s="58">
        <f t="shared" si="19"/>
        <v>18.510000000000002</v>
      </c>
      <c r="K25" s="58">
        <f t="shared" si="19"/>
        <v>18.88</v>
      </c>
      <c r="L25" s="59">
        <f t="shared" si="19"/>
        <v>19.260000000000002</v>
      </c>
      <c r="M25" s="38">
        <f t="shared" si="9"/>
        <v>19.649999999999999</v>
      </c>
      <c r="N25" s="46"/>
      <c r="O25" s="60"/>
      <c r="P25" s="61"/>
      <c r="Q25" s="16">
        <f>'5% scale used for appointments'!O16</f>
        <v>19.96</v>
      </c>
      <c r="R25" s="62">
        <v>19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thickBot="1" x14ac:dyDescent="0.3">
      <c r="A26" s="63"/>
      <c r="B26" s="15">
        <f>'5% scale used for appointments'!S16</f>
        <v>15.79</v>
      </c>
      <c r="C26" s="35">
        <f t="shared" ref="C26:L26" si="20">ROUND(B:B*1.02, 2)</f>
        <v>16.11</v>
      </c>
      <c r="D26" s="35">
        <f t="shared" si="20"/>
        <v>16.43</v>
      </c>
      <c r="E26" s="35">
        <f t="shared" si="20"/>
        <v>16.760000000000002</v>
      </c>
      <c r="F26" s="35">
        <f t="shared" si="20"/>
        <v>17.100000000000001</v>
      </c>
      <c r="G26" s="35">
        <f t="shared" si="20"/>
        <v>17.440000000000001</v>
      </c>
      <c r="H26" s="35">
        <f t="shared" si="20"/>
        <v>17.79</v>
      </c>
      <c r="I26" s="35">
        <f t="shared" si="20"/>
        <v>18.149999999999999</v>
      </c>
      <c r="J26" s="35">
        <f t="shared" si="20"/>
        <v>18.510000000000002</v>
      </c>
      <c r="K26" s="35">
        <f t="shared" si="20"/>
        <v>18.88</v>
      </c>
      <c r="L26" s="38">
        <f t="shared" si="20"/>
        <v>19.260000000000002</v>
      </c>
      <c r="M26" s="51">
        <f t="shared" si="9"/>
        <v>19.649999999999999</v>
      </c>
      <c r="N26" s="52"/>
      <c r="O26" s="52"/>
      <c r="P26" s="64"/>
      <c r="Q26" s="15">
        <f>'5% scale used for appointments'!T16</f>
        <v>19.96</v>
      </c>
      <c r="R26" s="65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x14ac:dyDescent="0.25">
      <c r="A27" s="66">
        <v>20</v>
      </c>
      <c r="B27" s="18">
        <v>16.89</v>
      </c>
      <c r="C27" s="59">
        <f t="shared" ref="C27:L27" si="21">ROUND(B:B*1.02, 2)</f>
        <v>17.23</v>
      </c>
      <c r="D27" s="59">
        <f t="shared" si="21"/>
        <v>17.57</v>
      </c>
      <c r="E27" s="59">
        <f t="shared" si="21"/>
        <v>17.920000000000002</v>
      </c>
      <c r="F27" s="59">
        <f t="shared" si="21"/>
        <v>18.28</v>
      </c>
      <c r="G27" s="59">
        <f t="shared" si="21"/>
        <v>18.649999999999999</v>
      </c>
      <c r="H27" s="59">
        <f t="shared" si="21"/>
        <v>19.02</v>
      </c>
      <c r="I27" s="59">
        <f t="shared" si="21"/>
        <v>19.399999999999999</v>
      </c>
      <c r="J27" s="59">
        <f t="shared" si="21"/>
        <v>19.79</v>
      </c>
      <c r="K27" s="59">
        <f t="shared" si="21"/>
        <v>20.190000000000001</v>
      </c>
      <c r="L27" s="59">
        <f t="shared" si="21"/>
        <v>20.59</v>
      </c>
      <c r="M27" s="38">
        <f t="shared" si="9"/>
        <v>21</v>
      </c>
      <c r="N27" s="67">
        <f t="shared" ref="N27:N48" si="22">ROUND(M:M*1.02, 2)</f>
        <v>21.42</v>
      </c>
      <c r="O27" s="68"/>
      <c r="P27" s="61"/>
      <c r="Q27" s="16">
        <f>'5% scale used for appointments'!O17</f>
        <v>21.414999999999999</v>
      </c>
      <c r="R27" s="69">
        <v>20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75" thickBot="1" x14ac:dyDescent="0.3">
      <c r="A28" s="50"/>
      <c r="B28" s="15">
        <f>'5% scale used for appointments'!S17</f>
        <v>16.89</v>
      </c>
      <c r="C28" s="38">
        <f t="shared" ref="C28:L28" si="23">ROUND(B:B*1.02, 2)</f>
        <v>17.23</v>
      </c>
      <c r="D28" s="38">
        <f t="shared" si="23"/>
        <v>17.57</v>
      </c>
      <c r="E28" s="38">
        <f t="shared" si="23"/>
        <v>17.920000000000002</v>
      </c>
      <c r="F28" s="38">
        <f t="shared" si="23"/>
        <v>18.28</v>
      </c>
      <c r="G28" s="38">
        <f t="shared" si="23"/>
        <v>18.649999999999999</v>
      </c>
      <c r="H28" s="38">
        <f t="shared" si="23"/>
        <v>19.02</v>
      </c>
      <c r="I28" s="38">
        <f t="shared" si="23"/>
        <v>19.399999999999999</v>
      </c>
      <c r="J28" s="38">
        <f t="shared" si="23"/>
        <v>19.79</v>
      </c>
      <c r="K28" s="38">
        <f t="shared" si="23"/>
        <v>20.190000000000001</v>
      </c>
      <c r="L28" s="38">
        <f t="shared" si="23"/>
        <v>20.59</v>
      </c>
      <c r="M28" s="51">
        <f t="shared" si="9"/>
        <v>21</v>
      </c>
      <c r="N28" s="51">
        <f t="shared" si="22"/>
        <v>21.42</v>
      </c>
      <c r="O28" s="52"/>
      <c r="P28" s="64"/>
      <c r="Q28" s="15">
        <f>'5% scale used for appointments'!T17</f>
        <v>21.414999999999999</v>
      </c>
      <c r="R28" s="5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57">
        <v>21</v>
      </c>
      <c r="B29" s="17">
        <v>18.079999999999998</v>
      </c>
      <c r="C29" s="58">
        <f t="shared" ref="C29:L29" si="24">ROUND(B:B*1.02, 2)</f>
        <v>18.440000000000001</v>
      </c>
      <c r="D29" s="58">
        <f t="shared" si="24"/>
        <v>18.809999999999999</v>
      </c>
      <c r="E29" s="58">
        <f t="shared" si="24"/>
        <v>19.190000000000001</v>
      </c>
      <c r="F29" s="58">
        <f t="shared" si="24"/>
        <v>19.57</v>
      </c>
      <c r="G29" s="58">
        <f t="shared" si="24"/>
        <v>19.96</v>
      </c>
      <c r="H29" s="58">
        <f t="shared" si="24"/>
        <v>20.36</v>
      </c>
      <c r="I29" s="58">
        <f t="shared" si="24"/>
        <v>20.77</v>
      </c>
      <c r="J29" s="58">
        <f t="shared" si="24"/>
        <v>21.19</v>
      </c>
      <c r="K29" s="58">
        <f t="shared" si="24"/>
        <v>21.61</v>
      </c>
      <c r="L29" s="59">
        <f t="shared" si="24"/>
        <v>22.04</v>
      </c>
      <c r="M29" s="38">
        <f t="shared" si="9"/>
        <v>22.48</v>
      </c>
      <c r="N29" s="67">
        <f t="shared" si="22"/>
        <v>22.93</v>
      </c>
      <c r="O29" s="68"/>
      <c r="P29" s="61"/>
      <c r="Q29" s="16">
        <f>'5% scale used for appointments'!O18</f>
        <v>23</v>
      </c>
      <c r="R29" s="62">
        <v>21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5.75" thickBot="1" x14ac:dyDescent="0.3">
      <c r="A30" s="63"/>
      <c r="B30" s="15">
        <f>'5% scale used for appointments'!S18</f>
        <v>18.079999999999998</v>
      </c>
      <c r="C30" s="35">
        <f t="shared" ref="C30:L30" si="25">ROUND(B:B*1.02, 2)</f>
        <v>18.440000000000001</v>
      </c>
      <c r="D30" s="35">
        <f t="shared" si="25"/>
        <v>18.809999999999999</v>
      </c>
      <c r="E30" s="35">
        <f t="shared" si="25"/>
        <v>19.190000000000001</v>
      </c>
      <c r="F30" s="35">
        <f t="shared" si="25"/>
        <v>19.57</v>
      </c>
      <c r="G30" s="35">
        <f t="shared" si="25"/>
        <v>19.96</v>
      </c>
      <c r="H30" s="35">
        <f t="shared" si="25"/>
        <v>20.36</v>
      </c>
      <c r="I30" s="35">
        <f t="shared" si="25"/>
        <v>20.77</v>
      </c>
      <c r="J30" s="35">
        <f t="shared" si="25"/>
        <v>21.19</v>
      </c>
      <c r="K30" s="35">
        <f t="shared" si="25"/>
        <v>21.61</v>
      </c>
      <c r="L30" s="38">
        <f t="shared" si="25"/>
        <v>22.04</v>
      </c>
      <c r="M30" s="51">
        <f t="shared" si="9"/>
        <v>22.48</v>
      </c>
      <c r="N30" s="51">
        <f t="shared" si="22"/>
        <v>22.93</v>
      </c>
      <c r="O30" s="52"/>
      <c r="P30" s="64"/>
      <c r="Q30" s="15">
        <f>'5% scale used for appointments'!T18</f>
        <v>23</v>
      </c>
      <c r="R30" s="65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x14ac:dyDescent="0.25">
      <c r="A31" s="57">
        <v>22</v>
      </c>
      <c r="B31" s="17">
        <v>19.38</v>
      </c>
      <c r="C31" s="58">
        <f t="shared" ref="C31:L31" si="26">ROUND(B:B*1.02, 2)</f>
        <v>19.77</v>
      </c>
      <c r="D31" s="58">
        <f t="shared" si="26"/>
        <v>20.170000000000002</v>
      </c>
      <c r="E31" s="58">
        <f t="shared" si="26"/>
        <v>20.57</v>
      </c>
      <c r="F31" s="58">
        <f t="shared" si="26"/>
        <v>20.98</v>
      </c>
      <c r="G31" s="58">
        <f t="shared" si="26"/>
        <v>21.4</v>
      </c>
      <c r="H31" s="58">
        <f t="shared" si="26"/>
        <v>21.83</v>
      </c>
      <c r="I31" s="58">
        <f t="shared" si="26"/>
        <v>22.27</v>
      </c>
      <c r="J31" s="58">
        <f t="shared" si="26"/>
        <v>22.72</v>
      </c>
      <c r="K31" s="58">
        <f t="shared" si="26"/>
        <v>23.17</v>
      </c>
      <c r="L31" s="59">
        <f t="shared" si="26"/>
        <v>23.63</v>
      </c>
      <c r="M31" s="38">
        <f t="shared" si="9"/>
        <v>24.1</v>
      </c>
      <c r="N31" s="67">
        <f t="shared" si="22"/>
        <v>24.58</v>
      </c>
      <c r="O31" s="68"/>
      <c r="P31" s="61"/>
      <c r="Q31" s="16">
        <f>'5% scale used for appointments'!O19</f>
        <v>24.729999999999997</v>
      </c>
      <c r="R31" s="62">
        <v>22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5.75" thickBot="1" x14ac:dyDescent="0.3">
      <c r="A32" s="63"/>
      <c r="B32" s="15">
        <f>'5% scale used for appointments'!S19</f>
        <v>19.38</v>
      </c>
      <c r="C32" s="35">
        <f t="shared" ref="C32:L32" si="27">ROUND(B:B*1.02, 2)</f>
        <v>19.77</v>
      </c>
      <c r="D32" s="35">
        <f t="shared" si="27"/>
        <v>20.170000000000002</v>
      </c>
      <c r="E32" s="35">
        <f t="shared" si="27"/>
        <v>20.57</v>
      </c>
      <c r="F32" s="35">
        <f t="shared" si="27"/>
        <v>20.98</v>
      </c>
      <c r="G32" s="35">
        <f t="shared" si="27"/>
        <v>21.4</v>
      </c>
      <c r="H32" s="35">
        <f t="shared" si="27"/>
        <v>21.83</v>
      </c>
      <c r="I32" s="35">
        <f t="shared" si="27"/>
        <v>22.27</v>
      </c>
      <c r="J32" s="35">
        <f t="shared" si="27"/>
        <v>22.72</v>
      </c>
      <c r="K32" s="35">
        <f t="shared" si="27"/>
        <v>23.17</v>
      </c>
      <c r="L32" s="38">
        <f t="shared" si="27"/>
        <v>23.63</v>
      </c>
      <c r="M32" s="51">
        <f t="shared" si="9"/>
        <v>24.1</v>
      </c>
      <c r="N32" s="51">
        <f t="shared" si="22"/>
        <v>24.58</v>
      </c>
      <c r="O32" s="52"/>
      <c r="P32" s="64"/>
      <c r="Q32" s="15">
        <f>'5% scale used for appointments'!T19</f>
        <v>24.729999999999997</v>
      </c>
      <c r="R32" s="65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x14ac:dyDescent="0.25">
      <c r="A33" s="57">
        <v>23</v>
      </c>
      <c r="B33" s="17">
        <v>20.79</v>
      </c>
      <c r="C33" s="58">
        <f t="shared" ref="C33:L33" si="28">ROUND(B:B*1.02, 2)</f>
        <v>21.21</v>
      </c>
      <c r="D33" s="58">
        <f t="shared" si="28"/>
        <v>21.63</v>
      </c>
      <c r="E33" s="58">
        <f t="shared" si="28"/>
        <v>22.06</v>
      </c>
      <c r="F33" s="58">
        <f t="shared" si="28"/>
        <v>22.5</v>
      </c>
      <c r="G33" s="58">
        <f t="shared" si="28"/>
        <v>22.95</v>
      </c>
      <c r="H33" s="58">
        <f t="shared" si="28"/>
        <v>23.41</v>
      </c>
      <c r="I33" s="58">
        <f t="shared" si="28"/>
        <v>23.88</v>
      </c>
      <c r="J33" s="58">
        <f t="shared" si="28"/>
        <v>24.36</v>
      </c>
      <c r="K33" s="58">
        <f t="shared" si="28"/>
        <v>24.85</v>
      </c>
      <c r="L33" s="59">
        <f t="shared" si="28"/>
        <v>25.35</v>
      </c>
      <c r="M33" s="38">
        <f t="shared" si="9"/>
        <v>25.86</v>
      </c>
      <c r="N33" s="67">
        <f t="shared" si="22"/>
        <v>26.38</v>
      </c>
      <c r="O33" s="68"/>
      <c r="P33" s="61"/>
      <c r="Q33" s="16">
        <f>'5% scale used for appointments'!O20</f>
        <v>26.61</v>
      </c>
      <c r="R33" s="62">
        <v>23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5.75" thickBot="1" x14ac:dyDescent="0.3">
      <c r="A34" s="63"/>
      <c r="B34" s="15">
        <f>'5% scale used for appointments'!S20</f>
        <v>20.79</v>
      </c>
      <c r="C34" s="35">
        <f t="shared" ref="C34:L34" si="29">ROUND(B:B*1.02, 2)</f>
        <v>21.21</v>
      </c>
      <c r="D34" s="35">
        <f t="shared" si="29"/>
        <v>21.63</v>
      </c>
      <c r="E34" s="35">
        <f t="shared" si="29"/>
        <v>22.06</v>
      </c>
      <c r="F34" s="35">
        <f t="shared" si="29"/>
        <v>22.5</v>
      </c>
      <c r="G34" s="35">
        <f t="shared" si="29"/>
        <v>22.95</v>
      </c>
      <c r="H34" s="35">
        <f t="shared" si="29"/>
        <v>23.41</v>
      </c>
      <c r="I34" s="35">
        <f t="shared" si="29"/>
        <v>23.88</v>
      </c>
      <c r="J34" s="35">
        <f t="shared" si="29"/>
        <v>24.36</v>
      </c>
      <c r="K34" s="35">
        <f t="shared" si="29"/>
        <v>24.85</v>
      </c>
      <c r="L34" s="51">
        <f t="shared" si="29"/>
        <v>25.35</v>
      </c>
      <c r="M34" s="51">
        <f t="shared" si="9"/>
        <v>25.86</v>
      </c>
      <c r="N34" s="51">
        <f t="shared" si="22"/>
        <v>26.38</v>
      </c>
      <c r="O34" s="52"/>
      <c r="P34" s="64"/>
      <c r="Q34" s="15">
        <f>'5% scale used for appointments'!T20</f>
        <v>26.61</v>
      </c>
      <c r="R34" s="65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x14ac:dyDescent="0.25">
      <c r="A35" s="66">
        <v>24</v>
      </c>
      <c r="B35" s="18">
        <v>22.31</v>
      </c>
      <c r="C35" s="59">
        <f t="shared" ref="C35:L35" si="30">ROUND(B:B*1.02, 2)</f>
        <v>22.76</v>
      </c>
      <c r="D35" s="59">
        <f t="shared" si="30"/>
        <v>23.22</v>
      </c>
      <c r="E35" s="59">
        <f t="shared" si="30"/>
        <v>23.68</v>
      </c>
      <c r="F35" s="59">
        <f t="shared" si="30"/>
        <v>24.15</v>
      </c>
      <c r="G35" s="59">
        <f t="shared" si="30"/>
        <v>24.63</v>
      </c>
      <c r="H35" s="59">
        <f t="shared" si="30"/>
        <v>25.12</v>
      </c>
      <c r="I35" s="59">
        <f t="shared" si="30"/>
        <v>25.62</v>
      </c>
      <c r="J35" s="59">
        <f t="shared" si="30"/>
        <v>26.13</v>
      </c>
      <c r="K35" s="59">
        <f t="shared" si="30"/>
        <v>26.65</v>
      </c>
      <c r="L35" s="67">
        <f t="shared" si="30"/>
        <v>27.18</v>
      </c>
      <c r="M35" s="38">
        <f t="shared" si="9"/>
        <v>27.72</v>
      </c>
      <c r="N35" s="67">
        <f t="shared" si="22"/>
        <v>28.27</v>
      </c>
      <c r="O35" s="68"/>
      <c r="P35" s="61"/>
      <c r="Q35" s="16">
        <f>'5% scale used for appointments'!O21</f>
        <v>28.644999999999996</v>
      </c>
      <c r="R35" s="69">
        <v>24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5.75" thickBot="1" x14ac:dyDescent="0.3">
      <c r="A36" s="50"/>
      <c r="B36" s="15">
        <f>'5% scale used for appointments'!S21</f>
        <v>22.31</v>
      </c>
      <c r="C36" s="38">
        <f t="shared" ref="C36:L36" si="31">ROUND(B:B*1.02, 2)</f>
        <v>22.76</v>
      </c>
      <c r="D36" s="38">
        <f t="shared" si="31"/>
        <v>23.22</v>
      </c>
      <c r="E36" s="38">
        <f t="shared" si="31"/>
        <v>23.68</v>
      </c>
      <c r="F36" s="38">
        <f t="shared" si="31"/>
        <v>24.15</v>
      </c>
      <c r="G36" s="38">
        <f t="shared" si="31"/>
        <v>24.63</v>
      </c>
      <c r="H36" s="38">
        <f t="shared" si="31"/>
        <v>25.12</v>
      </c>
      <c r="I36" s="38">
        <f t="shared" si="31"/>
        <v>25.62</v>
      </c>
      <c r="J36" s="38">
        <f t="shared" si="31"/>
        <v>26.13</v>
      </c>
      <c r="K36" s="38">
        <f t="shared" si="31"/>
        <v>26.65</v>
      </c>
      <c r="L36" s="51">
        <f t="shared" si="31"/>
        <v>27.18</v>
      </c>
      <c r="M36" s="51">
        <f t="shared" si="9"/>
        <v>27.72</v>
      </c>
      <c r="N36" s="51">
        <f t="shared" si="22"/>
        <v>28.27</v>
      </c>
      <c r="O36" s="52"/>
      <c r="P36" s="64"/>
      <c r="Q36" s="15">
        <f>'5% scale used for appointments'!T21</f>
        <v>28.644999999999996</v>
      </c>
      <c r="R36" s="5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66">
        <v>25</v>
      </c>
      <c r="B37" s="18">
        <v>23.96</v>
      </c>
      <c r="C37" s="59">
        <f t="shared" ref="C37:L37" si="32">ROUND(B:B*1.02, 2)</f>
        <v>24.44</v>
      </c>
      <c r="D37" s="59">
        <f t="shared" si="32"/>
        <v>24.93</v>
      </c>
      <c r="E37" s="59">
        <f t="shared" si="32"/>
        <v>25.43</v>
      </c>
      <c r="F37" s="59">
        <f t="shared" si="32"/>
        <v>25.94</v>
      </c>
      <c r="G37" s="59">
        <f t="shared" si="32"/>
        <v>26.46</v>
      </c>
      <c r="H37" s="59">
        <f t="shared" si="32"/>
        <v>26.99</v>
      </c>
      <c r="I37" s="59">
        <f t="shared" si="32"/>
        <v>27.53</v>
      </c>
      <c r="J37" s="59">
        <f t="shared" si="32"/>
        <v>28.08</v>
      </c>
      <c r="K37" s="59">
        <f t="shared" si="32"/>
        <v>28.64</v>
      </c>
      <c r="L37" s="67">
        <f t="shared" si="32"/>
        <v>29.21</v>
      </c>
      <c r="M37" s="38">
        <f t="shared" si="9"/>
        <v>29.79</v>
      </c>
      <c r="N37" s="67">
        <f t="shared" si="22"/>
        <v>30.39</v>
      </c>
      <c r="O37" s="68"/>
      <c r="P37" s="61"/>
      <c r="Q37" s="16">
        <f>'5% scale used for appointments'!O22</f>
        <v>30.86</v>
      </c>
      <c r="R37" s="69">
        <v>25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.75" thickBot="1" x14ac:dyDescent="0.3">
      <c r="A38" s="50"/>
      <c r="B38" s="15">
        <f>'5% scale used for appointments'!S22</f>
        <v>23.96</v>
      </c>
      <c r="C38" s="38">
        <f t="shared" ref="C38:L38" si="33">ROUND(B:B*1.02, 2)</f>
        <v>24.44</v>
      </c>
      <c r="D38" s="38">
        <f t="shared" si="33"/>
        <v>24.93</v>
      </c>
      <c r="E38" s="38">
        <f t="shared" si="33"/>
        <v>25.43</v>
      </c>
      <c r="F38" s="38">
        <f t="shared" si="33"/>
        <v>25.94</v>
      </c>
      <c r="G38" s="38">
        <f t="shared" si="33"/>
        <v>26.46</v>
      </c>
      <c r="H38" s="38">
        <f t="shared" si="33"/>
        <v>26.99</v>
      </c>
      <c r="I38" s="38">
        <f t="shared" si="33"/>
        <v>27.53</v>
      </c>
      <c r="J38" s="38">
        <f t="shared" si="33"/>
        <v>28.08</v>
      </c>
      <c r="K38" s="38">
        <f t="shared" si="33"/>
        <v>28.64</v>
      </c>
      <c r="L38" s="51">
        <f t="shared" si="33"/>
        <v>29.21</v>
      </c>
      <c r="M38" s="51">
        <f t="shared" si="9"/>
        <v>29.79</v>
      </c>
      <c r="N38" s="51">
        <f t="shared" si="22"/>
        <v>30.39</v>
      </c>
      <c r="O38" s="52"/>
      <c r="P38" s="64"/>
      <c r="Q38" s="15">
        <f>'5% scale used for appointments'!T22</f>
        <v>30.86</v>
      </c>
      <c r="R38" s="5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66">
        <v>26</v>
      </c>
      <c r="B39" s="18">
        <v>25.76</v>
      </c>
      <c r="C39" s="59">
        <f t="shared" ref="C39:L39" si="34">ROUND(B:B*1.02, 2)</f>
        <v>26.28</v>
      </c>
      <c r="D39" s="59">
        <f t="shared" si="34"/>
        <v>26.81</v>
      </c>
      <c r="E39" s="59">
        <f t="shared" si="34"/>
        <v>27.35</v>
      </c>
      <c r="F39" s="59">
        <f t="shared" si="34"/>
        <v>27.9</v>
      </c>
      <c r="G39" s="59">
        <f t="shared" si="34"/>
        <v>28.46</v>
      </c>
      <c r="H39" s="59">
        <f t="shared" si="34"/>
        <v>29.03</v>
      </c>
      <c r="I39" s="59">
        <f t="shared" si="34"/>
        <v>29.61</v>
      </c>
      <c r="J39" s="59">
        <f t="shared" si="34"/>
        <v>30.2</v>
      </c>
      <c r="K39" s="59">
        <f t="shared" si="34"/>
        <v>30.8</v>
      </c>
      <c r="L39" s="67">
        <f t="shared" si="34"/>
        <v>31.42</v>
      </c>
      <c r="M39" s="38">
        <f t="shared" si="9"/>
        <v>32.049999999999997</v>
      </c>
      <c r="N39" s="67">
        <f t="shared" si="22"/>
        <v>32.69</v>
      </c>
      <c r="O39" s="68"/>
      <c r="P39" s="61"/>
      <c r="Q39" s="16">
        <f>'5% scale used for appointments'!O23</f>
        <v>33.28</v>
      </c>
      <c r="R39" s="69">
        <v>26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5.75" thickBot="1" x14ac:dyDescent="0.3">
      <c r="A40" s="70"/>
      <c r="B40" s="15">
        <f>'5% scale used for appointments'!S23</f>
        <v>25.76</v>
      </c>
      <c r="C40" s="38">
        <f t="shared" ref="C40:L40" si="35">ROUND(B:B*1.02, 2)</f>
        <v>26.28</v>
      </c>
      <c r="D40" s="38">
        <f t="shared" si="35"/>
        <v>26.81</v>
      </c>
      <c r="E40" s="38">
        <f t="shared" si="35"/>
        <v>27.35</v>
      </c>
      <c r="F40" s="38">
        <f t="shared" si="35"/>
        <v>27.9</v>
      </c>
      <c r="G40" s="38">
        <f t="shared" si="35"/>
        <v>28.46</v>
      </c>
      <c r="H40" s="38">
        <f t="shared" si="35"/>
        <v>29.03</v>
      </c>
      <c r="I40" s="38">
        <f t="shared" si="35"/>
        <v>29.61</v>
      </c>
      <c r="J40" s="38">
        <f t="shared" si="35"/>
        <v>30.2</v>
      </c>
      <c r="K40" s="38">
        <f t="shared" si="35"/>
        <v>30.8</v>
      </c>
      <c r="L40" s="51">
        <f t="shared" si="35"/>
        <v>31.42</v>
      </c>
      <c r="M40" s="51">
        <f t="shared" si="9"/>
        <v>32.049999999999997</v>
      </c>
      <c r="N40" s="51">
        <f t="shared" si="22"/>
        <v>32.69</v>
      </c>
      <c r="O40" s="52"/>
      <c r="P40" s="71"/>
      <c r="Q40" s="15">
        <f>'5% scale used for appointments'!T23</f>
        <v>33.28</v>
      </c>
      <c r="R40" s="7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25">
      <c r="A41" s="66">
        <v>27</v>
      </c>
      <c r="B41" s="18">
        <v>27.8</v>
      </c>
      <c r="C41" s="59">
        <f t="shared" ref="C41:L41" si="36">ROUND(B:B*1.02, 2)</f>
        <v>28.36</v>
      </c>
      <c r="D41" s="59">
        <f t="shared" si="36"/>
        <v>28.93</v>
      </c>
      <c r="E41" s="59">
        <f t="shared" si="36"/>
        <v>29.51</v>
      </c>
      <c r="F41" s="59">
        <f t="shared" si="36"/>
        <v>30.1</v>
      </c>
      <c r="G41" s="59">
        <f t="shared" si="36"/>
        <v>30.7</v>
      </c>
      <c r="H41" s="59">
        <f t="shared" si="36"/>
        <v>31.31</v>
      </c>
      <c r="I41" s="59">
        <f t="shared" si="36"/>
        <v>31.94</v>
      </c>
      <c r="J41" s="59">
        <f t="shared" si="36"/>
        <v>32.58</v>
      </c>
      <c r="K41" s="59">
        <f t="shared" si="36"/>
        <v>33.229999999999997</v>
      </c>
      <c r="L41" s="67">
        <f t="shared" si="36"/>
        <v>33.89</v>
      </c>
      <c r="M41" s="38">
        <f t="shared" si="9"/>
        <v>34.57</v>
      </c>
      <c r="N41" s="67">
        <f t="shared" si="22"/>
        <v>35.26</v>
      </c>
      <c r="O41" s="67">
        <f t="shared" ref="O41:O48" si="37">ROUND(N:N*1.02, 2)</f>
        <v>35.97</v>
      </c>
      <c r="P41" s="64"/>
      <c r="Q41" s="16">
        <f>'5% scale used for appointments'!O24</f>
        <v>36.03</v>
      </c>
      <c r="R41" s="69">
        <v>27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.75" thickBot="1" x14ac:dyDescent="0.3">
      <c r="A42" s="70"/>
      <c r="B42" s="15">
        <f>'5% scale used for appointments'!S24</f>
        <v>27.8</v>
      </c>
      <c r="C42" s="38">
        <f t="shared" ref="C42:L42" si="38">ROUND(B:B*1.02, 2)</f>
        <v>28.36</v>
      </c>
      <c r="D42" s="38">
        <f t="shared" si="38"/>
        <v>28.93</v>
      </c>
      <c r="E42" s="38">
        <f t="shared" si="38"/>
        <v>29.51</v>
      </c>
      <c r="F42" s="38">
        <f t="shared" si="38"/>
        <v>30.1</v>
      </c>
      <c r="G42" s="38">
        <f t="shared" si="38"/>
        <v>30.7</v>
      </c>
      <c r="H42" s="38">
        <f t="shared" si="38"/>
        <v>31.31</v>
      </c>
      <c r="I42" s="38">
        <f t="shared" si="38"/>
        <v>31.94</v>
      </c>
      <c r="J42" s="38">
        <f t="shared" si="38"/>
        <v>32.58</v>
      </c>
      <c r="K42" s="38">
        <f t="shared" si="38"/>
        <v>33.229999999999997</v>
      </c>
      <c r="L42" s="51">
        <f t="shared" si="38"/>
        <v>33.89</v>
      </c>
      <c r="M42" s="51">
        <f t="shared" si="9"/>
        <v>34.57</v>
      </c>
      <c r="N42" s="51">
        <f t="shared" si="22"/>
        <v>35.26</v>
      </c>
      <c r="O42" s="51">
        <f t="shared" si="37"/>
        <v>35.97</v>
      </c>
      <c r="P42" s="64"/>
      <c r="Q42" s="15">
        <f>'5% scale used for appointments'!T24</f>
        <v>36.03</v>
      </c>
      <c r="R42" s="72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57">
        <v>28</v>
      </c>
      <c r="B43" s="17">
        <v>30.02</v>
      </c>
      <c r="C43" s="58">
        <f t="shared" ref="C43:L43" si="39">ROUND(B:B*1.02, 2)</f>
        <v>30.62</v>
      </c>
      <c r="D43" s="58">
        <f t="shared" si="39"/>
        <v>31.23</v>
      </c>
      <c r="E43" s="58">
        <f t="shared" si="39"/>
        <v>31.85</v>
      </c>
      <c r="F43" s="58">
        <f t="shared" si="39"/>
        <v>32.49</v>
      </c>
      <c r="G43" s="58">
        <f t="shared" si="39"/>
        <v>33.14</v>
      </c>
      <c r="H43" s="58">
        <f t="shared" si="39"/>
        <v>33.799999999999997</v>
      </c>
      <c r="I43" s="58">
        <f t="shared" si="39"/>
        <v>34.479999999999997</v>
      </c>
      <c r="J43" s="58">
        <f t="shared" si="39"/>
        <v>35.17</v>
      </c>
      <c r="K43" s="58">
        <f t="shared" si="39"/>
        <v>35.869999999999997</v>
      </c>
      <c r="L43" s="67">
        <f t="shared" si="39"/>
        <v>36.590000000000003</v>
      </c>
      <c r="M43" s="38">
        <f t="shared" si="9"/>
        <v>37.32</v>
      </c>
      <c r="N43" s="67">
        <f t="shared" si="22"/>
        <v>38.07</v>
      </c>
      <c r="O43" s="67">
        <f t="shared" si="37"/>
        <v>38.83</v>
      </c>
      <c r="P43" s="61"/>
      <c r="Q43" s="16">
        <f>'5% scale used for appointments'!O25</f>
        <v>39.024999999999999</v>
      </c>
      <c r="R43" s="62">
        <v>28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5.75" thickBot="1" x14ac:dyDescent="0.3">
      <c r="A44" s="73"/>
      <c r="B44" s="15">
        <f>'5% scale used for appointments'!S25</f>
        <v>30.02</v>
      </c>
      <c r="C44" s="74">
        <f t="shared" ref="C44:L44" si="40">ROUND(B:B*1.02, 2)</f>
        <v>30.62</v>
      </c>
      <c r="D44" s="74">
        <f t="shared" si="40"/>
        <v>31.23</v>
      </c>
      <c r="E44" s="74">
        <f t="shared" si="40"/>
        <v>31.85</v>
      </c>
      <c r="F44" s="74">
        <f t="shared" si="40"/>
        <v>32.49</v>
      </c>
      <c r="G44" s="74">
        <f t="shared" si="40"/>
        <v>33.14</v>
      </c>
      <c r="H44" s="74">
        <f t="shared" si="40"/>
        <v>33.799999999999997</v>
      </c>
      <c r="I44" s="74">
        <f t="shared" si="40"/>
        <v>34.479999999999997</v>
      </c>
      <c r="J44" s="74">
        <f t="shared" si="40"/>
        <v>35.17</v>
      </c>
      <c r="K44" s="74">
        <f t="shared" si="40"/>
        <v>35.869999999999997</v>
      </c>
      <c r="L44" s="51">
        <f t="shared" si="40"/>
        <v>36.590000000000003</v>
      </c>
      <c r="M44" s="51">
        <f t="shared" si="9"/>
        <v>37.32</v>
      </c>
      <c r="N44" s="51">
        <f t="shared" si="22"/>
        <v>38.07</v>
      </c>
      <c r="O44" s="51">
        <f t="shared" si="37"/>
        <v>38.83</v>
      </c>
      <c r="P44" s="71"/>
      <c r="Q44" s="15">
        <f>'5% scale used for appointments'!T25</f>
        <v>39.024999999999999</v>
      </c>
      <c r="R44" s="75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x14ac:dyDescent="0.25">
      <c r="A45" s="66">
        <v>29</v>
      </c>
      <c r="B45" s="18">
        <v>32.450000000000003</v>
      </c>
      <c r="C45" s="59">
        <f t="shared" ref="C45:L45" si="41">ROUND(B:B*1.02, 2)</f>
        <v>33.1</v>
      </c>
      <c r="D45" s="59">
        <f t="shared" si="41"/>
        <v>33.76</v>
      </c>
      <c r="E45" s="59">
        <f t="shared" si="41"/>
        <v>34.44</v>
      </c>
      <c r="F45" s="59">
        <f t="shared" si="41"/>
        <v>35.130000000000003</v>
      </c>
      <c r="G45" s="59">
        <f t="shared" si="41"/>
        <v>35.83</v>
      </c>
      <c r="H45" s="59">
        <f t="shared" si="41"/>
        <v>36.549999999999997</v>
      </c>
      <c r="I45" s="59">
        <f t="shared" si="41"/>
        <v>37.28</v>
      </c>
      <c r="J45" s="59">
        <f t="shared" si="41"/>
        <v>38.03</v>
      </c>
      <c r="K45" s="59">
        <f t="shared" si="41"/>
        <v>38.79</v>
      </c>
      <c r="L45" s="67">
        <f t="shared" si="41"/>
        <v>39.57</v>
      </c>
      <c r="M45" s="38">
        <f t="shared" si="9"/>
        <v>40.36</v>
      </c>
      <c r="N45" s="67">
        <f t="shared" si="22"/>
        <v>41.17</v>
      </c>
      <c r="O45" s="67">
        <f t="shared" si="37"/>
        <v>41.99</v>
      </c>
      <c r="P45" s="64"/>
      <c r="Q45" s="16">
        <f>'5% scale used for appointments'!O26</f>
        <v>42.314999999999998</v>
      </c>
      <c r="R45" s="69">
        <v>27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.75" thickBot="1" x14ac:dyDescent="0.3">
      <c r="A46" s="70"/>
      <c r="B46" s="15">
        <f>'5% scale used for appointments'!S26</f>
        <v>32.450000000000003</v>
      </c>
      <c r="C46" s="38">
        <f t="shared" ref="C46:L46" si="42">ROUND(B:B*1.02, 2)</f>
        <v>33.1</v>
      </c>
      <c r="D46" s="38">
        <f t="shared" si="42"/>
        <v>33.76</v>
      </c>
      <c r="E46" s="38">
        <f t="shared" si="42"/>
        <v>34.44</v>
      </c>
      <c r="F46" s="38">
        <f t="shared" si="42"/>
        <v>35.130000000000003</v>
      </c>
      <c r="G46" s="38">
        <f t="shared" si="42"/>
        <v>35.83</v>
      </c>
      <c r="H46" s="38">
        <f t="shared" si="42"/>
        <v>36.549999999999997</v>
      </c>
      <c r="I46" s="38">
        <f t="shared" si="42"/>
        <v>37.28</v>
      </c>
      <c r="J46" s="38">
        <f t="shared" si="42"/>
        <v>38.03</v>
      </c>
      <c r="K46" s="38">
        <f t="shared" si="42"/>
        <v>38.79</v>
      </c>
      <c r="L46" s="51">
        <f t="shared" si="42"/>
        <v>39.57</v>
      </c>
      <c r="M46" s="51">
        <f t="shared" si="9"/>
        <v>40.36</v>
      </c>
      <c r="N46" s="51">
        <f t="shared" si="22"/>
        <v>41.17</v>
      </c>
      <c r="O46" s="51">
        <f t="shared" si="37"/>
        <v>41.99</v>
      </c>
      <c r="P46" s="64"/>
      <c r="Q46" s="15">
        <f>'5% scale used for appointments'!T26</f>
        <v>42.314999999999998</v>
      </c>
      <c r="R46" s="72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A47" s="57">
        <v>30</v>
      </c>
      <c r="B47" s="17">
        <v>35.11</v>
      </c>
      <c r="C47" s="58">
        <f t="shared" ref="C47:L47" si="43">ROUND(B:B*1.02, 2)</f>
        <v>35.81</v>
      </c>
      <c r="D47" s="58">
        <f t="shared" si="43"/>
        <v>36.53</v>
      </c>
      <c r="E47" s="58">
        <f t="shared" si="43"/>
        <v>37.26</v>
      </c>
      <c r="F47" s="58">
        <f t="shared" si="43"/>
        <v>38.01</v>
      </c>
      <c r="G47" s="58">
        <f t="shared" si="43"/>
        <v>38.770000000000003</v>
      </c>
      <c r="H47" s="58">
        <f t="shared" si="43"/>
        <v>39.549999999999997</v>
      </c>
      <c r="I47" s="58">
        <f t="shared" si="43"/>
        <v>40.340000000000003</v>
      </c>
      <c r="J47" s="58">
        <f t="shared" si="43"/>
        <v>41.15</v>
      </c>
      <c r="K47" s="58">
        <f t="shared" si="43"/>
        <v>41.97</v>
      </c>
      <c r="L47" s="67">
        <f t="shared" si="43"/>
        <v>42.81</v>
      </c>
      <c r="M47" s="38">
        <f t="shared" si="9"/>
        <v>43.67</v>
      </c>
      <c r="N47" s="67">
        <f t="shared" si="22"/>
        <v>44.54</v>
      </c>
      <c r="O47" s="67">
        <f t="shared" si="37"/>
        <v>45.43</v>
      </c>
      <c r="P47" s="61"/>
      <c r="Q47" s="16">
        <f>'5% scale used for appointments'!O27</f>
        <v>45.924999999999997</v>
      </c>
      <c r="R47" s="62">
        <v>28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5.75" thickBot="1" x14ac:dyDescent="0.3">
      <c r="A48" s="73"/>
      <c r="B48" s="15">
        <f>'5% scale used for appointments'!S27</f>
        <v>35.11</v>
      </c>
      <c r="C48" s="74">
        <f t="shared" ref="C48:L48" si="44">ROUND(B:B*1.02, 2)</f>
        <v>35.81</v>
      </c>
      <c r="D48" s="74">
        <f t="shared" si="44"/>
        <v>36.53</v>
      </c>
      <c r="E48" s="74">
        <f t="shared" si="44"/>
        <v>37.26</v>
      </c>
      <c r="F48" s="74">
        <f t="shared" si="44"/>
        <v>38.01</v>
      </c>
      <c r="G48" s="74">
        <f t="shared" si="44"/>
        <v>38.770000000000003</v>
      </c>
      <c r="H48" s="74">
        <f t="shared" si="44"/>
        <v>39.549999999999997</v>
      </c>
      <c r="I48" s="74">
        <f t="shared" si="44"/>
        <v>40.340000000000003</v>
      </c>
      <c r="J48" s="74">
        <f t="shared" si="44"/>
        <v>41.15</v>
      </c>
      <c r="K48" s="74">
        <f t="shared" si="44"/>
        <v>41.97</v>
      </c>
      <c r="L48" s="51">
        <f t="shared" si="44"/>
        <v>42.81</v>
      </c>
      <c r="M48" s="51">
        <f t="shared" si="9"/>
        <v>43.67</v>
      </c>
      <c r="N48" s="51">
        <f t="shared" si="22"/>
        <v>44.54</v>
      </c>
      <c r="O48" s="51">
        <f t="shared" si="37"/>
        <v>45.43</v>
      </c>
      <c r="P48" s="71"/>
      <c r="Q48" s="15">
        <f>'5% scale used for appointments'!T27</f>
        <v>45.924999999999997</v>
      </c>
      <c r="R48" s="75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x14ac:dyDescent="0.25">
      <c r="A49" s="3"/>
      <c r="B49" s="5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x14ac:dyDescent="0.25">
      <c r="A50" s="3"/>
      <c r="B50" s="19" t="s">
        <v>16</v>
      </c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</sheetData>
  <sheetProtection password="CD7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topLeftCell="K1" workbookViewId="0">
      <selection activeCell="U7" sqref="U7 S7"/>
    </sheetView>
  </sheetViews>
  <sheetFormatPr defaultRowHeight="15" x14ac:dyDescent="0.25"/>
  <cols>
    <col min="1" max="1" width="7" style="30" customWidth="1"/>
    <col min="2" max="2" width="7.5703125" style="77" customWidth="1"/>
    <col min="3" max="3" width="7" style="33" customWidth="1"/>
    <col min="4" max="4" width="7.42578125" style="33" customWidth="1"/>
    <col min="5" max="7" width="7" style="33" customWidth="1"/>
    <col min="8" max="8" width="7.42578125" style="33" customWidth="1"/>
    <col min="9" max="10" width="7" customWidth="1"/>
    <col min="11" max="11" width="7" style="33" customWidth="1"/>
    <col min="12" max="12" width="8.140625" style="33" customWidth="1"/>
    <col min="13" max="13" width="8.140625" style="33" hidden="1" customWidth="1"/>
    <col min="14" max="14" width="10.140625" customWidth="1"/>
    <col min="15" max="15" width="7" style="77" customWidth="1"/>
    <col min="16" max="16" width="7" style="83" customWidth="1"/>
    <col min="17" max="17" width="3.28515625" style="85" customWidth="1"/>
    <col min="18" max="18" width="7.28515625" bestFit="1" customWidth="1"/>
    <col min="19" max="19" width="7" style="34" customWidth="1"/>
    <col min="20" max="21" width="9.5703125" bestFit="1" customWidth="1"/>
  </cols>
  <sheetData>
    <row r="1" spans="1:22" ht="15.75" x14ac:dyDescent="0.25">
      <c r="A1" s="20" t="s">
        <v>17</v>
      </c>
      <c r="B1" s="88"/>
      <c r="C1" s="20"/>
      <c r="D1" s="20"/>
      <c r="E1" s="20"/>
      <c r="F1" s="20"/>
      <c r="G1" s="20"/>
      <c r="H1" s="20"/>
      <c r="I1" s="21"/>
      <c r="J1" s="21"/>
      <c r="K1" s="20"/>
      <c r="L1" s="20"/>
      <c r="M1" s="20"/>
      <c r="N1" s="21"/>
      <c r="O1" s="20"/>
      <c r="P1" s="20"/>
      <c r="Q1" s="21"/>
      <c r="R1" s="21"/>
      <c r="S1" s="22"/>
      <c r="T1" s="21"/>
      <c r="U1" s="23"/>
      <c r="V1" s="23"/>
    </row>
    <row r="2" spans="1:22" ht="15.75" x14ac:dyDescent="0.25">
      <c r="A2" s="20" t="s">
        <v>18</v>
      </c>
      <c r="B2" s="88"/>
      <c r="C2" s="20"/>
      <c r="D2" s="20"/>
      <c r="E2" s="20"/>
      <c r="F2" s="20"/>
      <c r="G2" s="20"/>
      <c r="H2" s="20"/>
      <c r="I2" s="21"/>
      <c r="J2" s="21"/>
      <c r="K2" s="20"/>
      <c r="L2" s="20"/>
      <c r="M2" s="20"/>
      <c r="N2" s="21"/>
      <c r="O2" s="20"/>
      <c r="P2" s="20"/>
      <c r="Q2" s="21"/>
      <c r="R2" s="21"/>
      <c r="S2" s="22"/>
      <c r="T2" s="21"/>
      <c r="U2" s="23"/>
      <c r="V2" s="23"/>
    </row>
    <row r="3" spans="1:22" ht="15.75" x14ac:dyDescent="0.25">
      <c r="A3" s="24" t="s">
        <v>19</v>
      </c>
      <c r="B3" s="88"/>
      <c r="C3" s="25"/>
      <c r="D3" s="25"/>
      <c r="E3" s="25"/>
      <c r="F3" s="25"/>
      <c r="G3" s="25"/>
      <c r="H3" s="25"/>
      <c r="I3" s="23"/>
      <c r="J3" s="23"/>
      <c r="K3" s="25"/>
      <c r="L3" s="25"/>
      <c r="M3" s="25"/>
      <c r="N3" s="23"/>
      <c r="O3" s="26"/>
      <c r="P3" s="25"/>
      <c r="Q3" s="23"/>
      <c r="R3" s="23"/>
      <c r="S3" s="27"/>
      <c r="T3" s="23"/>
      <c r="U3" s="23"/>
      <c r="V3" s="23"/>
    </row>
    <row r="4" spans="1:22" ht="15.75" x14ac:dyDescent="0.25">
      <c r="A4" s="28" t="s">
        <v>20</v>
      </c>
      <c r="B4" s="88"/>
      <c r="C4" s="25"/>
      <c r="D4" s="25"/>
      <c r="E4" s="25"/>
      <c r="F4" s="25"/>
      <c r="G4" s="25"/>
      <c r="H4" s="25"/>
      <c r="I4" s="23"/>
      <c r="J4" s="23"/>
      <c r="K4" s="25"/>
      <c r="L4" s="25"/>
      <c r="M4" s="25"/>
      <c r="N4" s="23"/>
      <c r="O4" s="26"/>
      <c r="P4" s="25"/>
      <c r="Q4" s="23"/>
      <c r="R4" s="23"/>
      <c r="S4" s="27"/>
      <c r="T4" s="23"/>
      <c r="U4" s="23"/>
      <c r="V4" s="23"/>
    </row>
    <row r="5" spans="1:22" ht="15.75" x14ac:dyDescent="0.25">
      <c r="A5" s="28" t="s">
        <v>21</v>
      </c>
      <c r="B5" s="88"/>
      <c r="C5" s="25"/>
      <c r="D5" s="25"/>
      <c r="E5" s="25"/>
      <c r="F5" s="25"/>
      <c r="G5" s="25"/>
      <c r="H5" s="25"/>
      <c r="I5" s="23"/>
      <c r="J5" s="23"/>
      <c r="K5" s="25"/>
      <c r="L5" s="25"/>
      <c r="M5" s="25"/>
      <c r="N5" s="23"/>
      <c r="O5" s="26"/>
      <c r="P5" s="25"/>
      <c r="Q5" s="23"/>
      <c r="R5" s="23"/>
      <c r="S5" s="27"/>
      <c r="T5" s="23"/>
      <c r="U5" s="23"/>
      <c r="V5" s="23"/>
    </row>
    <row r="6" spans="1:22" s="41" customFormat="1" x14ac:dyDescent="0.25">
      <c r="A6" s="12" t="s">
        <v>5</v>
      </c>
      <c r="B6" s="78" t="s">
        <v>22</v>
      </c>
      <c r="C6" s="11" t="s">
        <v>23</v>
      </c>
      <c r="D6" s="11" t="s">
        <v>42</v>
      </c>
      <c r="E6" s="11" t="s">
        <v>24</v>
      </c>
      <c r="F6" s="11" t="s">
        <v>25</v>
      </c>
      <c r="G6" s="11" t="s">
        <v>26</v>
      </c>
      <c r="H6" s="11" t="s">
        <v>27</v>
      </c>
      <c r="I6" s="11" t="s">
        <v>28</v>
      </c>
      <c r="J6" s="11" t="s">
        <v>29</v>
      </c>
      <c r="K6" s="11" t="s">
        <v>30</v>
      </c>
      <c r="L6" s="29" t="s">
        <v>31</v>
      </c>
      <c r="M6" s="11" t="s">
        <v>32</v>
      </c>
      <c r="N6" s="12" t="s">
        <v>33</v>
      </c>
      <c r="O6" s="78" t="s">
        <v>34</v>
      </c>
      <c r="P6" s="80" t="s">
        <v>35</v>
      </c>
      <c r="Q6" s="86"/>
      <c r="R6" s="12" t="s">
        <v>5</v>
      </c>
      <c r="S6" s="39" t="s">
        <v>36</v>
      </c>
      <c r="T6" s="12" t="s">
        <v>37</v>
      </c>
      <c r="U6" s="12" t="s">
        <v>38</v>
      </c>
      <c r="V6" s="40"/>
    </row>
    <row r="7" spans="1:22" x14ac:dyDescent="0.25">
      <c r="A7" s="12">
        <v>10</v>
      </c>
      <c r="B7" s="79">
        <v>10.1</v>
      </c>
      <c r="C7" s="35">
        <f t="shared" ref="C7:L7" si="0">ROUND(B:B*1.05, 2)</f>
        <v>10.61</v>
      </c>
      <c r="D7" s="35">
        <f t="shared" si="0"/>
        <v>11.14</v>
      </c>
      <c r="E7" s="35">
        <f t="shared" si="0"/>
        <v>11.7</v>
      </c>
      <c r="F7" s="35">
        <f t="shared" si="0"/>
        <v>12.29</v>
      </c>
      <c r="G7" s="35">
        <f t="shared" si="0"/>
        <v>12.9</v>
      </c>
      <c r="H7" s="35">
        <f t="shared" si="0"/>
        <v>13.55</v>
      </c>
      <c r="I7" s="35">
        <f t="shared" si="0"/>
        <v>14.23</v>
      </c>
      <c r="J7" s="35">
        <f t="shared" si="0"/>
        <v>14.94</v>
      </c>
      <c r="K7" s="35">
        <f t="shared" si="0"/>
        <v>15.69</v>
      </c>
      <c r="L7" s="36">
        <f t="shared" si="0"/>
        <v>16.47</v>
      </c>
      <c r="M7" s="35"/>
      <c r="N7" s="35">
        <f>(ROUND(B:B*1.456,2)-B:B)/2+B:B</f>
        <v>12.405000000000001</v>
      </c>
      <c r="O7" s="79">
        <v>12.405000000000001</v>
      </c>
      <c r="P7" s="81">
        <v>14.71</v>
      </c>
      <c r="Q7" s="87"/>
      <c r="R7" s="42">
        <v>10</v>
      </c>
      <c r="S7" s="31">
        <v>10.1</v>
      </c>
      <c r="T7" s="38">
        <f t="shared" ref="T7:T25" si="1">(U7:U7-S7:S7)/2+S7</f>
        <v>12.405000000000001</v>
      </c>
      <c r="U7" s="38">
        <f xml:space="preserve"> ROUND((S7:S7*1.456),2)</f>
        <v>14.71</v>
      </c>
    </row>
    <row r="8" spans="1:22" x14ac:dyDescent="0.25">
      <c r="A8" s="12">
        <v>11</v>
      </c>
      <c r="B8" s="79">
        <v>10.4</v>
      </c>
      <c r="C8" s="35">
        <f t="shared" ref="C8:L8" si="2">ROUND(B:B*1.05, 2)</f>
        <v>10.92</v>
      </c>
      <c r="D8" s="35">
        <f t="shared" si="2"/>
        <v>11.47</v>
      </c>
      <c r="E8" s="35">
        <f t="shared" si="2"/>
        <v>12.04</v>
      </c>
      <c r="F8" s="35">
        <f t="shared" si="2"/>
        <v>12.64</v>
      </c>
      <c r="G8" s="35">
        <f t="shared" si="2"/>
        <v>13.27</v>
      </c>
      <c r="H8" s="35">
        <f t="shared" si="2"/>
        <v>13.93</v>
      </c>
      <c r="I8" s="35">
        <f t="shared" si="2"/>
        <v>14.63</v>
      </c>
      <c r="J8" s="35">
        <f t="shared" si="2"/>
        <v>15.36</v>
      </c>
      <c r="K8" s="35">
        <f t="shared" si="2"/>
        <v>16.13</v>
      </c>
      <c r="L8" s="36">
        <f t="shared" si="2"/>
        <v>16.940000000000001</v>
      </c>
      <c r="M8" s="35"/>
      <c r="N8" s="35">
        <f xml:space="preserve"> (ROUND(B:B*1.464,2)-B:B)/2+B:B</f>
        <v>12.815000000000001</v>
      </c>
      <c r="O8" s="79">
        <v>12.815000000000001</v>
      </c>
      <c r="P8" s="81">
        <v>15.23</v>
      </c>
      <c r="Q8" s="87"/>
      <c r="R8" s="42">
        <v>11</v>
      </c>
      <c r="S8" s="31">
        <v>10.4</v>
      </c>
      <c r="T8" s="38">
        <f t="shared" si="1"/>
        <v>12.815000000000001</v>
      </c>
      <c r="U8" s="38">
        <f xml:space="preserve"> ROUND((S8:S8*1.464),2)</f>
        <v>15.23</v>
      </c>
    </row>
    <row r="9" spans="1:22" x14ac:dyDescent="0.25">
      <c r="A9" s="12">
        <v>12</v>
      </c>
      <c r="B9" s="79">
        <v>10.62</v>
      </c>
      <c r="C9" s="35">
        <f t="shared" ref="C9:L9" si="3">ROUND(B:B*1.05, 2)</f>
        <v>11.15</v>
      </c>
      <c r="D9" s="35">
        <f t="shared" si="3"/>
        <v>11.71</v>
      </c>
      <c r="E9" s="35">
        <f t="shared" si="3"/>
        <v>12.3</v>
      </c>
      <c r="F9" s="35">
        <f t="shared" si="3"/>
        <v>12.92</v>
      </c>
      <c r="G9" s="35">
        <f t="shared" si="3"/>
        <v>13.57</v>
      </c>
      <c r="H9" s="35">
        <f t="shared" si="3"/>
        <v>14.25</v>
      </c>
      <c r="I9" s="35">
        <f t="shared" si="3"/>
        <v>14.96</v>
      </c>
      <c r="J9" s="35">
        <f t="shared" si="3"/>
        <v>15.71</v>
      </c>
      <c r="K9" s="35">
        <f t="shared" si="3"/>
        <v>16.5</v>
      </c>
      <c r="L9" s="36">
        <f t="shared" si="3"/>
        <v>17.329999999999998</v>
      </c>
      <c r="M9" s="35"/>
      <c r="N9" s="35">
        <f xml:space="preserve"> (ROUND(B:B*1.472,2)-B:B)/2+B:B</f>
        <v>13.125</v>
      </c>
      <c r="O9" s="79">
        <v>13.125</v>
      </c>
      <c r="P9" s="81">
        <v>15.63</v>
      </c>
      <c r="Q9" s="87"/>
      <c r="R9" s="42">
        <v>12</v>
      </c>
      <c r="S9" s="31">
        <v>10.62</v>
      </c>
      <c r="T9" s="38">
        <f t="shared" si="1"/>
        <v>13.125</v>
      </c>
      <c r="U9" s="38">
        <f>ROUND((S9:S9*1.472),2)</f>
        <v>15.63</v>
      </c>
    </row>
    <row r="10" spans="1:22" x14ac:dyDescent="0.25">
      <c r="A10" s="12">
        <v>13</v>
      </c>
      <c r="B10" s="79">
        <v>10.7</v>
      </c>
      <c r="C10" s="35">
        <f t="shared" ref="C10:L10" si="4">ROUND(B:B*1.05, 2)</f>
        <v>11.24</v>
      </c>
      <c r="D10" s="35">
        <f t="shared" si="4"/>
        <v>11.8</v>
      </c>
      <c r="E10" s="35">
        <f t="shared" si="4"/>
        <v>12.39</v>
      </c>
      <c r="F10" s="35">
        <f t="shared" si="4"/>
        <v>13.01</v>
      </c>
      <c r="G10" s="35">
        <f t="shared" si="4"/>
        <v>13.66</v>
      </c>
      <c r="H10" s="35">
        <f t="shared" si="4"/>
        <v>14.34</v>
      </c>
      <c r="I10" s="35">
        <f t="shared" si="4"/>
        <v>15.06</v>
      </c>
      <c r="J10" s="35">
        <f t="shared" si="4"/>
        <v>15.81</v>
      </c>
      <c r="K10" s="35">
        <f t="shared" si="4"/>
        <v>16.600000000000001</v>
      </c>
      <c r="L10" s="36">
        <f t="shared" si="4"/>
        <v>17.43</v>
      </c>
      <c r="M10" s="35"/>
      <c r="N10" s="35">
        <f xml:space="preserve"> (ROUND(B:B*1.48,2)-B:B)/2+B:B</f>
        <v>13.27</v>
      </c>
      <c r="O10" s="79">
        <v>13.27</v>
      </c>
      <c r="P10" s="81">
        <v>15.84</v>
      </c>
      <c r="Q10" s="87"/>
      <c r="R10" s="42">
        <v>13</v>
      </c>
      <c r="S10" s="31">
        <v>10.7</v>
      </c>
      <c r="T10" s="38">
        <f t="shared" si="1"/>
        <v>13.27</v>
      </c>
      <c r="U10" s="38">
        <f xml:space="preserve"> ROUND((S10:S10*1.48),2)</f>
        <v>15.84</v>
      </c>
    </row>
    <row r="11" spans="1:22" x14ac:dyDescent="0.25">
      <c r="A11" s="12">
        <v>14</v>
      </c>
      <c r="B11" s="79">
        <v>11.4</v>
      </c>
      <c r="C11" s="35">
        <f t="shared" ref="C11:L11" si="5">ROUND(B:B*1.05, 2)</f>
        <v>11.97</v>
      </c>
      <c r="D11" s="35">
        <f t="shared" si="5"/>
        <v>12.57</v>
      </c>
      <c r="E11" s="35">
        <f t="shared" si="5"/>
        <v>13.2</v>
      </c>
      <c r="F11" s="35">
        <f t="shared" si="5"/>
        <v>13.86</v>
      </c>
      <c r="G11" s="35">
        <f t="shared" si="5"/>
        <v>14.55</v>
      </c>
      <c r="H11" s="35">
        <f t="shared" si="5"/>
        <v>15.28</v>
      </c>
      <c r="I11" s="35">
        <f t="shared" si="5"/>
        <v>16.04</v>
      </c>
      <c r="J11" s="35">
        <f t="shared" si="5"/>
        <v>16.84</v>
      </c>
      <c r="K11" s="35">
        <f t="shared" si="5"/>
        <v>17.68</v>
      </c>
      <c r="L11" s="36">
        <f t="shared" si="5"/>
        <v>18.559999999999999</v>
      </c>
      <c r="M11" s="35"/>
      <c r="N11" s="35">
        <f xml:space="preserve"> (ROUND(B:B*1.488,2)-B:B)/2+B:B</f>
        <v>14.18</v>
      </c>
      <c r="O11" s="79">
        <v>14.18</v>
      </c>
      <c r="P11" s="81">
        <v>16.96</v>
      </c>
      <c r="Q11" s="87"/>
      <c r="R11" s="42">
        <v>14</v>
      </c>
      <c r="S11" s="31">
        <v>11.4</v>
      </c>
      <c r="T11" s="38">
        <f t="shared" si="1"/>
        <v>14.18</v>
      </c>
      <c r="U11" s="38">
        <f xml:space="preserve"> ROUND((S11:S11*1.488),2)</f>
        <v>16.96</v>
      </c>
    </row>
    <row r="12" spans="1:22" x14ac:dyDescent="0.25">
      <c r="A12" s="12">
        <v>15</v>
      </c>
      <c r="B12" s="79">
        <v>12.15</v>
      </c>
      <c r="C12" s="35">
        <f t="shared" ref="C12:L12" si="6">ROUND(B:B*1.05, 2)</f>
        <v>12.76</v>
      </c>
      <c r="D12" s="35">
        <f t="shared" si="6"/>
        <v>13.4</v>
      </c>
      <c r="E12" s="35">
        <f t="shared" si="6"/>
        <v>14.07</v>
      </c>
      <c r="F12" s="35">
        <f t="shared" si="6"/>
        <v>14.77</v>
      </c>
      <c r="G12" s="35">
        <f t="shared" si="6"/>
        <v>15.51</v>
      </c>
      <c r="H12" s="35">
        <f t="shared" si="6"/>
        <v>16.29</v>
      </c>
      <c r="I12" s="35">
        <f t="shared" si="6"/>
        <v>17.100000000000001</v>
      </c>
      <c r="J12" s="35">
        <f t="shared" si="6"/>
        <v>17.96</v>
      </c>
      <c r="K12" s="35">
        <f t="shared" si="6"/>
        <v>18.86</v>
      </c>
      <c r="L12" s="36">
        <f t="shared" si="6"/>
        <v>19.8</v>
      </c>
      <c r="M12" s="35"/>
      <c r="N12" s="35">
        <f xml:space="preserve"> (ROUND(B:B*1.496,2)-B:B)/2+B:B</f>
        <v>15.164999999999999</v>
      </c>
      <c r="O12" s="79">
        <v>15.164999999999999</v>
      </c>
      <c r="P12" s="81">
        <v>18.18</v>
      </c>
      <c r="Q12" s="87"/>
      <c r="R12" s="42">
        <v>15</v>
      </c>
      <c r="S12" s="31">
        <v>12.15</v>
      </c>
      <c r="T12" s="38">
        <f t="shared" si="1"/>
        <v>15.164999999999999</v>
      </c>
      <c r="U12" s="38">
        <f>ROUND((S12:S12*1.496),2)</f>
        <v>18.18</v>
      </c>
    </row>
    <row r="13" spans="1:22" x14ac:dyDescent="0.25">
      <c r="A13" s="12">
        <v>16</v>
      </c>
      <c r="B13" s="79">
        <v>12.95</v>
      </c>
      <c r="C13" s="35">
        <f t="shared" ref="C13:L13" si="7">ROUND(B:B*1.05, 2)</f>
        <v>13.6</v>
      </c>
      <c r="D13" s="35">
        <f t="shared" si="7"/>
        <v>14.28</v>
      </c>
      <c r="E13" s="35">
        <f t="shared" si="7"/>
        <v>14.99</v>
      </c>
      <c r="F13" s="35">
        <f t="shared" si="7"/>
        <v>15.74</v>
      </c>
      <c r="G13" s="35">
        <f t="shared" si="7"/>
        <v>16.53</v>
      </c>
      <c r="H13" s="35">
        <f t="shared" si="7"/>
        <v>17.36</v>
      </c>
      <c r="I13" s="35">
        <f t="shared" si="7"/>
        <v>18.23</v>
      </c>
      <c r="J13" s="35">
        <f t="shared" si="7"/>
        <v>19.14</v>
      </c>
      <c r="K13" s="35">
        <f t="shared" si="7"/>
        <v>20.100000000000001</v>
      </c>
      <c r="L13" s="36">
        <f t="shared" si="7"/>
        <v>21.11</v>
      </c>
      <c r="M13" s="35"/>
      <c r="N13" s="35">
        <f xml:space="preserve"> (ROUND(B:B*1.504,2)-B:B)/2+B:B</f>
        <v>16.215</v>
      </c>
      <c r="O13" s="79">
        <v>16.215</v>
      </c>
      <c r="P13" s="81">
        <v>19.48</v>
      </c>
      <c r="Q13" s="87"/>
      <c r="R13" s="42">
        <v>16</v>
      </c>
      <c r="S13" s="32">
        <v>12.95</v>
      </c>
      <c r="T13" s="38">
        <f t="shared" si="1"/>
        <v>16.215</v>
      </c>
      <c r="U13" s="38">
        <f>ROUND((S13:S13*1.504),2)</f>
        <v>19.48</v>
      </c>
    </row>
    <row r="14" spans="1:22" x14ac:dyDescent="0.25">
      <c r="A14" s="12">
        <v>17</v>
      </c>
      <c r="B14" s="79">
        <v>13.81</v>
      </c>
      <c r="C14" s="35">
        <f t="shared" ref="C14:L14" si="8">ROUND(B:B*1.05, 2)</f>
        <v>14.5</v>
      </c>
      <c r="D14" s="35">
        <f t="shared" si="8"/>
        <v>15.23</v>
      </c>
      <c r="E14" s="35">
        <f t="shared" si="8"/>
        <v>15.99</v>
      </c>
      <c r="F14" s="35">
        <f t="shared" si="8"/>
        <v>16.79</v>
      </c>
      <c r="G14" s="35">
        <f t="shared" si="8"/>
        <v>17.63</v>
      </c>
      <c r="H14" s="35">
        <f t="shared" si="8"/>
        <v>18.510000000000002</v>
      </c>
      <c r="I14" s="35">
        <f t="shared" si="8"/>
        <v>19.440000000000001</v>
      </c>
      <c r="J14" s="35">
        <f t="shared" si="8"/>
        <v>20.41</v>
      </c>
      <c r="K14" s="35">
        <f t="shared" si="8"/>
        <v>21.43</v>
      </c>
      <c r="L14" s="36">
        <f t="shared" si="8"/>
        <v>22.5</v>
      </c>
      <c r="M14" s="35"/>
      <c r="N14" s="35">
        <f xml:space="preserve"> (ROUND(B:B*1.512,2)-B:B)/2+B:B</f>
        <v>17.344999999999999</v>
      </c>
      <c r="O14" s="79">
        <v>17.344999999999999</v>
      </c>
      <c r="P14" s="81">
        <v>20.88</v>
      </c>
      <c r="Q14" s="87"/>
      <c r="R14" s="42">
        <v>17</v>
      </c>
      <c r="S14" s="31">
        <v>13.81</v>
      </c>
      <c r="T14" s="38">
        <f t="shared" si="1"/>
        <v>17.344999999999999</v>
      </c>
      <c r="U14" s="38">
        <f xml:space="preserve"> ROUND((S14:S14*1.512),2)</f>
        <v>20.88</v>
      </c>
    </row>
    <row r="15" spans="1:22" x14ac:dyDescent="0.25">
      <c r="A15" s="12">
        <v>18</v>
      </c>
      <c r="B15" s="79">
        <v>14.78</v>
      </c>
      <c r="C15" s="35">
        <f t="shared" ref="C15:L15" si="9">ROUND(B:B*1.05, 2)</f>
        <v>15.52</v>
      </c>
      <c r="D15" s="35">
        <f t="shared" si="9"/>
        <v>16.3</v>
      </c>
      <c r="E15" s="35">
        <f t="shared" si="9"/>
        <v>17.12</v>
      </c>
      <c r="F15" s="35">
        <f t="shared" si="9"/>
        <v>17.98</v>
      </c>
      <c r="G15" s="35">
        <f t="shared" si="9"/>
        <v>18.88</v>
      </c>
      <c r="H15" s="35">
        <f t="shared" si="9"/>
        <v>19.82</v>
      </c>
      <c r="I15" s="35">
        <f t="shared" si="9"/>
        <v>20.81</v>
      </c>
      <c r="J15" s="35">
        <f t="shared" si="9"/>
        <v>21.85</v>
      </c>
      <c r="K15" s="35">
        <f t="shared" si="9"/>
        <v>22.94</v>
      </c>
      <c r="L15" s="36">
        <f t="shared" si="9"/>
        <v>24.09</v>
      </c>
      <c r="M15" s="35"/>
      <c r="N15" s="35">
        <f xml:space="preserve"> (ROUND(B:B*1.52,2)-B:B)/2+B:B</f>
        <v>18.625</v>
      </c>
      <c r="O15" s="79">
        <v>18.625</v>
      </c>
      <c r="P15" s="81">
        <v>22.47</v>
      </c>
      <c r="Q15" s="87"/>
      <c r="R15" s="42">
        <v>18</v>
      </c>
      <c r="S15" s="31">
        <v>14.78</v>
      </c>
      <c r="T15" s="38">
        <f t="shared" si="1"/>
        <v>18.625</v>
      </c>
      <c r="U15" s="38">
        <f xml:space="preserve"> ROUND((S15:S15*1.52),2)</f>
        <v>22.47</v>
      </c>
    </row>
    <row r="16" spans="1:22" x14ac:dyDescent="0.25">
      <c r="A16" s="12">
        <v>19</v>
      </c>
      <c r="B16" s="79">
        <v>15.79</v>
      </c>
      <c r="C16" s="35">
        <f t="shared" ref="C16:L16" si="10">ROUND(B:B*1.05, 2)</f>
        <v>16.579999999999998</v>
      </c>
      <c r="D16" s="35">
        <f t="shared" si="10"/>
        <v>17.41</v>
      </c>
      <c r="E16" s="35">
        <f t="shared" si="10"/>
        <v>18.28</v>
      </c>
      <c r="F16" s="35">
        <f t="shared" si="10"/>
        <v>19.190000000000001</v>
      </c>
      <c r="G16" s="35">
        <f t="shared" si="10"/>
        <v>20.149999999999999</v>
      </c>
      <c r="H16" s="35">
        <f t="shared" si="10"/>
        <v>21.16</v>
      </c>
      <c r="I16" s="35">
        <f t="shared" si="10"/>
        <v>22.22</v>
      </c>
      <c r="J16" s="35">
        <f t="shared" si="10"/>
        <v>23.33</v>
      </c>
      <c r="K16" s="35">
        <f t="shared" si="10"/>
        <v>24.5</v>
      </c>
      <c r="L16" s="36">
        <f t="shared" si="10"/>
        <v>25.73</v>
      </c>
      <c r="M16" s="35"/>
      <c r="N16" s="35">
        <f xml:space="preserve"> (ROUND(B:B*1.528,2)-B:B)/2+B:B</f>
        <v>19.96</v>
      </c>
      <c r="O16" s="79">
        <v>19.96</v>
      </c>
      <c r="P16" s="81">
        <v>24.13</v>
      </c>
      <c r="Q16" s="87"/>
      <c r="R16" s="42">
        <v>19</v>
      </c>
      <c r="S16" s="31">
        <v>15.79</v>
      </c>
      <c r="T16" s="38">
        <f t="shared" si="1"/>
        <v>19.96</v>
      </c>
      <c r="U16" s="38">
        <f xml:space="preserve"> ROUND((S16:S16*1.528),2)</f>
        <v>24.13</v>
      </c>
    </row>
    <row r="17" spans="1:21" x14ac:dyDescent="0.25">
      <c r="A17" s="12">
        <v>20</v>
      </c>
      <c r="B17" s="79">
        <v>16.89</v>
      </c>
      <c r="C17" s="35">
        <f t="shared" ref="C17:L17" si="11">ROUND(B:B*1.05, 2)</f>
        <v>17.73</v>
      </c>
      <c r="D17" s="35">
        <f t="shared" si="11"/>
        <v>18.62</v>
      </c>
      <c r="E17" s="35">
        <f t="shared" si="11"/>
        <v>19.55</v>
      </c>
      <c r="F17" s="35">
        <f t="shared" si="11"/>
        <v>20.53</v>
      </c>
      <c r="G17" s="35">
        <f t="shared" si="11"/>
        <v>21.56</v>
      </c>
      <c r="H17" s="35">
        <f t="shared" si="11"/>
        <v>22.64</v>
      </c>
      <c r="I17" s="35">
        <f t="shared" si="11"/>
        <v>23.77</v>
      </c>
      <c r="J17" s="35">
        <f t="shared" si="11"/>
        <v>24.96</v>
      </c>
      <c r="K17" s="35">
        <f t="shared" si="11"/>
        <v>26.21</v>
      </c>
      <c r="L17" s="36">
        <f t="shared" si="11"/>
        <v>27.52</v>
      </c>
      <c r="M17" s="35"/>
      <c r="N17" s="35">
        <f xml:space="preserve"> (ROUND(B:B*1.536,2)-B:B)/2+B:B</f>
        <v>21.414999999999999</v>
      </c>
      <c r="O17" s="79">
        <v>21.414999999999999</v>
      </c>
      <c r="P17" s="81">
        <v>25.94</v>
      </c>
      <c r="Q17" s="87"/>
      <c r="R17" s="42">
        <v>20</v>
      </c>
      <c r="S17" s="31">
        <v>16.89</v>
      </c>
      <c r="T17" s="38">
        <f t="shared" si="1"/>
        <v>21.414999999999999</v>
      </c>
      <c r="U17" s="38">
        <f xml:space="preserve"> ROUND((S17:S17*1.536),2)</f>
        <v>25.94</v>
      </c>
    </row>
    <row r="18" spans="1:21" x14ac:dyDescent="0.25">
      <c r="A18" s="12">
        <v>21</v>
      </c>
      <c r="B18" s="79">
        <v>18.079999999999998</v>
      </c>
      <c r="C18" s="35">
        <f t="shared" ref="C18:L18" si="12">ROUND(B:B*1.05, 2)</f>
        <v>18.98</v>
      </c>
      <c r="D18" s="35">
        <f t="shared" si="12"/>
        <v>19.93</v>
      </c>
      <c r="E18" s="35">
        <f t="shared" si="12"/>
        <v>20.93</v>
      </c>
      <c r="F18" s="35">
        <f t="shared" si="12"/>
        <v>21.98</v>
      </c>
      <c r="G18" s="35">
        <f t="shared" si="12"/>
        <v>23.08</v>
      </c>
      <c r="H18" s="35">
        <f t="shared" si="12"/>
        <v>24.23</v>
      </c>
      <c r="I18" s="35">
        <f t="shared" si="12"/>
        <v>25.44</v>
      </c>
      <c r="J18" s="35">
        <f t="shared" si="12"/>
        <v>26.71</v>
      </c>
      <c r="K18" s="35">
        <f t="shared" si="12"/>
        <v>28.05</v>
      </c>
      <c r="L18" s="36">
        <f t="shared" si="12"/>
        <v>29.45</v>
      </c>
      <c r="M18" s="35"/>
      <c r="N18" s="35">
        <f xml:space="preserve"> (ROUND(B:B*1.544,2)-B:B)/2+B:B</f>
        <v>23</v>
      </c>
      <c r="O18" s="79">
        <v>23</v>
      </c>
      <c r="P18" s="81">
        <v>27.92</v>
      </c>
      <c r="Q18" s="87"/>
      <c r="R18" s="42">
        <v>21</v>
      </c>
      <c r="S18" s="31">
        <v>18.079999999999998</v>
      </c>
      <c r="T18" s="38">
        <f t="shared" si="1"/>
        <v>23</v>
      </c>
      <c r="U18" s="38">
        <f xml:space="preserve"> ROUND((S18:S18*1.544),2)</f>
        <v>27.92</v>
      </c>
    </row>
    <row r="19" spans="1:21" x14ac:dyDescent="0.25">
      <c r="A19" s="12">
        <v>22</v>
      </c>
      <c r="B19" s="79">
        <v>19.38</v>
      </c>
      <c r="C19" s="35">
        <f t="shared" ref="C19:L19" si="13">ROUND(B:B*1.05, 2)</f>
        <v>20.350000000000001</v>
      </c>
      <c r="D19" s="35">
        <f t="shared" si="13"/>
        <v>21.37</v>
      </c>
      <c r="E19" s="35">
        <f t="shared" si="13"/>
        <v>22.44</v>
      </c>
      <c r="F19" s="35">
        <f t="shared" si="13"/>
        <v>23.56</v>
      </c>
      <c r="G19" s="35">
        <f t="shared" si="13"/>
        <v>24.74</v>
      </c>
      <c r="H19" s="35">
        <f t="shared" si="13"/>
        <v>25.98</v>
      </c>
      <c r="I19" s="35">
        <f t="shared" si="13"/>
        <v>27.28</v>
      </c>
      <c r="J19" s="35">
        <f t="shared" si="13"/>
        <v>28.64</v>
      </c>
      <c r="K19" s="35">
        <f t="shared" si="13"/>
        <v>30.07</v>
      </c>
      <c r="L19" s="36">
        <f t="shared" si="13"/>
        <v>31.57</v>
      </c>
      <c r="M19" s="35"/>
      <c r="N19" s="35">
        <f xml:space="preserve"> (ROUND(B:B*1.552,2)-B:B)/2+B:B</f>
        <v>24.729999999999997</v>
      </c>
      <c r="O19" s="79">
        <v>24.729999999999997</v>
      </c>
      <c r="P19" s="81">
        <v>30.08</v>
      </c>
      <c r="Q19" s="87"/>
      <c r="R19" s="42">
        <v>22</v>
      </c>
      <c r="S19" s="31">
        <v>19.38</v>
      </c>
      <c r="T19" s="35">
        <f t="shared" si="1"/>
        <v>24.729999999999997</v>
      </c>
      <c r="U19" s="38">
        <f xml:space="preserve"> ROUND((S19:S19*1.552),2)</f>
        <v>30.08</v>
      </c>
    </row>
    <row r="20" spans="1:21" x14ac:dyDescent="0.3">
      <c r="A20" s="12">
        <v>23</v>
      </c>
      <c r="B20" s="79">
        <v>20.79</v>
      </c>
      <c r="C20" s="35">
        <f t="shared" ref="C20:L20" si="14">ROUND(B:B*1.05, 2)</f>
        <v>21.83</v>
      </c>
      <c r="D20" s="35">
        <f t="shared" si="14"/>
        <v>22.92</v>
      </c>
      <c r="E20" s="35">
        <f t="shared" si="14"/>
        <v>24.07</v>
      </c>
      <c r="F20" s="35">
        <f t="shared" si="14"/>
        <v>25.27</v>
      </c>
      <c r="G20" s="35">
        <f t="shared" si="14"/>
        <v>26.53</v>
      </c>
      <c r="H20" s="35">
        <f t="shared" si="14"/>
        <v>27.86</v>
      </c>
      <c r="I20" s="35">
        <f t="shared" si="14"/>
        <v>29.25</v>
      </c>
      <c r="J20" s="35">
        <f t="shared" si="14"/>
        <v>30.71</v>
      </c>
      <c r="K20" s="35">
        <f t="shared" si="14"/>
        <v>32.25</v>
      </c>
      <c r="L20" s="36">
        <f t="shared" si="14"/>
        <v>33.86</v>
      </c>
      <c r="M20" s="35"/>
      <c r="N20" s="35">
        <f xml:space="preserve"> (ROUND(B:B*1.56,2)-B:B)/2+B:B</f>
        <v>26.61</v>
      </c>
      <c r="O20" s="79">
        <v>26.61</v>
      </c>
      <c r="P20" s="81">
        <v>32.43</v>
      </c>
      <c r="Q20" s="87"/>
      <c r="R20" s="42">
        <v>23</v>
      </c>
      <c r="S20" s="32">
        <v>20.79</v>
      </c>
      <c r="T20" s="35">
        <f t="shared" si="1"/>
        <v>26.61</v>
      </c>
      <c r="U20" s="38">
        <f>ROUND((S20:S20*1.56),2)</f>
        <v>32.43</v>
      </c>
    </row>
    <row r="21" spans="1:21" x14ac:dyDescent="0.25">
      <c r="A21" s="12">
        <v>24</v>
      </c>
      <c r="B21" s="79">
        <v>22.31</v>
      </c>
      <c r="C21" s="35">
        <f t="shared" ref="C21:L21" si="15">ROUND(B:B*1.05, 2)</f>
        <v>23.43</v>
      </c>
      <c r="D21" s="35">
        <f t="shared" si="15"/>
        <v>24.6</v>
      </c>
      <c r="E21" s="35">
        <f t="shared" si="15"/>
        <v>25.83</v>
      </c>
      <c r="F21" s="35">
        <f t="shared" si="15"/>
        <v>27.12</v>
      </c>
      <c r="G21" s="35">
        <f t="shared" si="15"/>
        <v>28.48</v>
      </c>
      <c r="H21" s="35">
        <f t="shared" si="15"/>
        <v>29.9</v>
      </c>
      <c r="I21" s="35">
        <f t="shared" si="15"/>
        <v>31.4</v>
      </c>
      <c r="J21" s="35">
        <f t="shared" si="15"/>
        <v>32.97</v>
      </c>
      <c r="K21" s="35">
        <f t="shared" si="15"/>
        <v>34.619999999999997</v>
      </c>
      <c r="L21" s="36">
        <f t="shared" si="15"/>
        <v>36.35</v>
      </c>
      <c r="M21" s="35"/>
      <c r="N21" s="35">
        <f xml:space="preserve"> (ROUND(B:B*1.568,2)-B:B)/2+B:B</f>
        <v>28.644999999999996</v>
      </c>
      <c r="O21" s="79">
        <v>28.644999999999996</v>
      </c>
      <c r="P21" s="81">
        <v>34.979999999999997</v>
      </c>
      <c r="Q21" s="87"/>
      <c r="R21" s="42">
        <v>24</v>
      </c>
      <c r="S21" s="31">
        <v>22.31</v>
      </c>
      <c r="T21" s="35">
        <f t="shared" si="1"/>
        <v>28.644999999999996</v>
      </c>
      <c r="U21" s="38">
        <f xml:space="preserve"> ROUND((S21:S21*1.568),2)</f>
        <v>34.979999999999997</v>
      </c>
    </row>
    <row r="22" spans="1:21" x14ac:dyDescent="0.25">
      <c r="A22" s="12">
        <v>25</v>
      </c>
      <c r="B22" s="79">
        <v>23.96</v>
      </c>
      <c r="C22" s="35">
        <f t="shared" ref="C22:L22" si="16">ROUND(B:B*1.05, 2)</f>
        <v>25.16</v>
      </c>
      <c r="D22" s="35">
        <f t="shared" si="16"/>
        <v>26.42</v>
      </c>
      <c r="E22" s="35">
        <f t="shared" si="16"/>
        <v>27.74</v>
      </c>
      <c r="F22" s="35">
        <f t="shared" si="16"/>
        <v>29.13</v>
      </c>
      <c r="G22" s="35">
        <f t="shared" si="16"/>
        <v>30.59</v>
      </c>
      <c r="H22" s="35">
        <f t="shared" si="16"/>
        <v>32.119999999999997</v>
      </c>
      <c r="I22" s="35">
        <f t="shared" si="16"/>
        <v>33.729999999999997</v>
      </c>
      <c r="J22" s="35">
        <f t="shared" si="16"/>
        <v>35.42</v>
      </c>
      <c r="K22" s="35">
        <f t="shared" si="16"/>
        <v>37.19</v>
      </c>
      <c r="L22" s="36">
        <f t="shared" si="16"/>
        <v>39.049999999999997</v>
      </c>
      <c r="M22" s="35"/>
      <c r="N22" s="35">
        <f xml:space="preserve"> (ROUND(B:B*1.576,2)-B:B)/2+B:B</f>
        <v>30.86</v>
      </c>
      <c r="O22" s="79">
        <v>30.86</v>
      </c>
      <c r="P22" s="81">
        <v>37.76</v>
      </c>
      <c r="Q22" s="87"/>
      <c r="R22" s="42">
        <v>25</v>
      </c>
      <c r="S22" s="31">
        <v>23.96</v>
      </c>
      <c r="T22" s="35">
        <f t="shared" si="1"/>
        <v>30.86</v>
      </c>
      <c r="U22" s="38">
        <f xml:space="preserve"> ROUND((S22:S22*1.576),2)</f>
        <v>37.76</v>
      </c>
    </row>
    <row r="23" spans="1:21" x14ac:dyDescent="0.25">
      <c r="A23" s="12">
        <v>26</v>
      </c>
      <c r="B23" s="79">
        <v>25.76</v>
      </c>
      <c r="C23" s="35">
        <f t="shared" ref="C23:L23" si="17">ROUND(B:B*1.05, 2)</f>
        <v>27.05</v>
      </c>
      <c r="D23" s="35">
        <f t="shared" si="17"/>
        <v>28.4</v>
      </c>
      <c r="E23" s="35">
        <f t="shared" si="17"/>
        <v>29.82</v>
      </c>
      <c r="F23" s="35">
        <f t="shared" si="17"/>
        <v>31.31</v>
      </c>
      <c r="G23" s="35">
        <f t="shared" si="17"/>
        <v>32.880000000000003</v>
      </c>
      <c r="H23" s="35">
        <f t="shared" si="17"/>
        <v>34.520000000000003</v>
      </c>
      <c r="I23" s="35">
        <f t="shared" si="17"/>
        <v>36.25</v>
      </c>
      <c r="J23" s="35">
        <f t="shared" si="17"/>
        <v>38.06</v>
      </c>
      <c r="K23" s="35">
        <f t="shared" si="17"/>
        <v>39.96</v>
      </c>
      <c r="L23" s="36">
        <f t="shared" si="17"/>
        <v>41.96</v>
      </c>
      <c r="M23" s="35"/>
      <c r="N23" s="35">
        <f xml:space="preserve"> (ROUND(B:B*1.584,2)-B:B)/2+B:B</f>
        <v>33.28</v>
      </c>
      <c r="O23" s="79">
        <v>33.28</v>
      </c>
      <c r="P23" s="81">
        <v>40.799999999999997</v>
      </c>
      <c r="Q23" s="87"/>
      <c r="R23" s="42">
        <v>26</v>
      </c>
      <c r="S23" s="32">
        <v>25.76</v>
      </c>
      <c r="T23" s="38">
        <f t="shared" si="1"/>
        <v>33.28</v>
      </c>
      <c r="U23" s="38">
        <f xml:space="preserve"> ROUND((S23:S23*1.584),2)</f>
        <v>40.799999999999997</v>
      </c>
    </row>
    <row r="24" spans="1:21" x14ac:dyDescent="0.25">
      <c r="A24" s="12">
        <v>27</v>
      </c>
      <c r="B24" s="79">
        <v>27.8</v>
      </c>
      <c r="C24" s="35">
        <f t="shared" ref="C24:L24" si="18">ROUND(B:B*1.05, 2)</f>
        <v>29.19</v>
      </c>
      <c r="D24" s="35">
        <f t="shared" si="18"/>
        <v>30.65</v>
      </c>
      <c r="E24" s="35">
        <f t="shared" si="18"/>
        <v>32.18</v>
      </c>
      <c r="F24" s="35">
        <f t="shared" si="18"/>
        <v>33.79</v>
      </c>
      <c r="G24" s="35">
        <f t="shared" si="18"/>
        <v>35.479999999999997</v>
      </c>
      <c r="H24" s="35">
        <f t="shared" si="18"/>
        <v>37.25</v>
      </c>
      <c r="I24" s="35">
        <f t="shared" si="18"/>
        <v>39.11</v>
      </c>
      <c r="J24" s="35">
        <f t="shared" si="18"/>
        <v>41.07</v>
      </c>
      <c r="K24" s="35">
        <f t="shared" si="18"/>
        <v>43.12</v>
      </c>
      <c r="L24" s="36">
        <f t="shared" si="18"/>
        <v>45.28</v>
      </c>
      <c r="M24" s="35"/>
      <c r="N24" s="35">
        <f xml:space="preserve"> (ROUND(B:B*1.592,2)-B:B)/2+B:B</f>
        <v>36.03</v>
      </c>
      <c r="O24" s="79">
        <v>36.03</v>
      </c>
      <c r="P24" s="81">
        <v>44.26</v>
      </c>
      <c r="Q24" s="87"/>
      <c r="R24" s="42">
        <v>27</v>
      </c>
      <c r="S24" s="31">
        <v>27.8</v>
      </c>
      <c r="T24" s="35">
        <f t="shared" si="1"/>
        <v>36.03</v>
      </c>
      <c r="U24" s="38">
        <f xml:space="preserve"> ROUND((S24:S24*1.592),2)</f>
        <v>44.26</v>
      </c>
    </row>
    <row r="25" spans="1:21" x14ac:dyDescent="0.25">
      <c r="A25" s="12">
        <v>28</v>
      </c>
      <c r="B25" s="79">
        <v>30.02</v>
      </c>
      <c r="C25" s="35">
        <f t="shared" ref="C25:L25" si="19">ROUND(B:B*1.05, 2)</f>
        <v>31.52</v>
      </c>
      <c r="D25" s="35">
        <f t="shared" si="19"/>
        <v>33.1</v>
      </c>
      <c r="E25" s="35">
        <f t="shared" si="19"/>
        <v>34.76</v>
      </c>
      <c r="F25" s="35">
        <f t="shared" si="19"/>
        <v>36.5</v>
      </c>
      <c r="G25" s="35">
        <f t="shared" si="19"/>
        <v>38.33</v>
      </c>
      <c r="H25" s="35">
        <f t="shared" si="19"/>
        <v>40.25</v>
      </c>
      <c r="I25" s="35">
        <f t="shared" si="19"/>
        <v>42.26</v>
      </c>
      <c r="J25" s="35">
        <f t="shared" si="19"/>
        <v>44.37</v>
      </c>
      <c r="K25" s="35">
        <f t="shared" si="19"/>
        <v>46.59</v>
      </c>
      <c r="L25" s="36">
        <f t="shared" si="19"/>
        <v>48.92</v>
      </c>
      <c r="M25" s="35"/>
      <c r="N25" s="35">
        <f xml:space="preserve"> (ROUND(B:B*1.6,2)-B:B)/2+B:B</f>
        <v>39.024999999999999</v>
      </c>
      <c r="O25" s="79">
        <v>39.024999999999999</v>
      </c>
      <c r="P25" s="81">
        <v>48.03</v>
      </c>
      <c r="Q25" s="87"/>
      <c r="R25" s="42">
        <v>28</v>
      </c>
      <c r="S25" s="31">
        <v>30.02</v>
      </c>
      <c r="T25" s="35">
        <f t="shared" si="1"/>
        <v>39.024999999999999</v>
      </c>
      <c r="U25" s="38">
        <f>ROUND( (S25:S25*1.6),2)</f>
        <v>48.03</v>
      </c>
    </row>
    <row r="26" spans="1:21" x14ac:dyDescent="0.25">
      <c r="A26" s="12">
        <v>29</v>
      </c>
      <c r="B26" s="79">
        <v>32.450000000000003</v>
      </c>
      <c r="C26" s="35">
        <f t="shared" ref="C26:L26" si="20">ROUND(B:B*1.05, 2)</f>
        <v>34.07</v>
      </c>
      <c r="D26" s="35">
        <f t="shared" si="20"/>
        <v>35.770000000000003</v>
      </c>
      <c r="E26" s="35">
        <f t="shared" si="20"/>
        <v>37.56</v>
      </c>
      <c r="F26" s="35">
        <f t="shared" si="20"/>
        <v>39.44</v>
      </c>
      <c r="G26" s="35">
        <f t="shared" si="20"/>
        <v>41.41</v>
      </c>
      <c r="H26" s="35">
        <f t="shared" si="20"/>
        <v>43.48</v>
      </c>
      <c r="I26" s="35">
        <f t="shared" si="20"/>
        <v>45.65</v>
      </c>
      <c r="J26" s="35">
        <f t="shared" si="20"/>
        <v>47.93</v>
      </c>
      <c r="K26" s="35">
        <f t="shared" si="20"/>
        <v>50.33</v>
      </c>
      <c r="L26" s="36">
        <f t="shared" si="20"/>
        <v>52.85</v>
      </c>
      <c r="M26" s="35"/>
      <c r="N26" s="35">
        <f xml:space="preserve"> (ROUND(B:B*1.608,2)-B:B)/2+B:B</f>
        <v>42.314999999999998</v>
      </c>
      <c r="O26" s="79">
        <v>42.314999999999998</v>
      </c>
      <c r="P26" s="81">
        <v>52.18</v>
      </c>
      <c r="Q26" s="87"/>
      <c r="R26" s="42">
        <v>29</v>
      </c>
      <c r="S26" s="31">
        <v>32.450000000000003</v>
      </c>
      <c r="T26" s="35">
        <f t="shared" ref="T26:T27" si="21">(U26:U26-S26:S26)/2+S26</f>
        <v>42.314999999999998</v>
      </c>
      <c r="U26" s="38">
        <f>ROUND( (S26:S26*1.608),2)</f>
        <v>52.18</v>
      </c>
    </row>
    <row r="27" spans="1:21" x14ac:dyDescent="0.25">
      <c r="A27" s="12">
        <v>30</v>
      </c>
      <c r="B27" s="79">
        <v>35.11</v>
      </c>
      <c r="C27" s="35">
        <f t="shared" ref="C27:L27" si="22">ROUND(B:B*1.05, 2)</f>
        <v>36.869999999999997</v>
      </c>
      <c r="D27" s="35">
        <f t="shared" si="22"/>
        <v>38.71</v>
      </c>
      <c r="E27" s="35">
        <f t="shared" si="22"/>
        <v>40.65</v>
      </c>
      <c r="F27" s="35">
        <f t="shared" si="22"/>
        <v>42.68</v>
      </c>
      <c r="G27" s="35">
        <f t="shared" si="22"/>
        <v>44.81</v>
      </c>
      <c r="H27" s="35">
        <f t="shared" si="22"/>
        <v>47.05</v>
      </c>
      <c r="I27" s="35">
        <f t="shared" si="22"/>
        <v>49.4</v>
      </c>
      <c r="J27" s="35">
        <f t="shared" si="22"/>
        <v>51.87</v>
      </c>
      <c r="K27" s="35">
        <f t="shared" si="22"/>
        <v>54.46</v>
      </c>
      <c r="L27" s="36">
        <f t="shared" si="22"/>
        <v>57.18</v>
      </c>
      <c r="M27" s="35"/>
      <c r="N27" s="35">
        <f xml:space="preserve"> (ROUND(B:B*1.616,2)-B:B)/2+B:B</f>
        <v>45.924999999999997</v>
      </c>
      <c r="O27" s="79">
        <v>45.924999999999997</v>
      </c>
      <c r="P27" s="81">
        <v>56.74</v>
      </c>
      <c r="Q27" s="87"/>
      <c r="R27" s="42">
        <v>30</v>
      </c>
      <c r="S27" s="31">
        <v>35.11</v>
      </c>
      <c r="T27" s="35">
        <f t="shared" si="21"/>
        <v>45.924999999999997</v>
      </c>
      <c r="U27" s="38">
        <f>ROUND( (S27:S27*1.616),2)</f>
        <v>56.74</v>
      </c>
    </row>
    <row r="28" spans="1:21" x14ac:dyDescent="0.25">
      <c r="A28" s="12"/>
      <c r="B28" s="79"/>
      <c r="C28" s="35"/>
      <c r="D28" s="35"/>
      <c r="E28" s="35"/>
      <c r="F28" s="35"/>
      <c r="G28" s="35"/>
      <c r="H28" s="35"/>
      <c r="I28" s="37"/>
      <c r="J28" s="37"/>
      <c r="K28" s="35"/>
      <c r="L28" s="36"/>
      <c r="M28" s="35"/>
      <c r="N28" s="37"/>
      <c r="O28" s="79"/>
      <c r="P28" s="81"/>
      <c r="Q28" s="87"/>
      <c r="R28" s="42"/>
      <c r="S28" s="5"/>
      <c r="T28" s="35"/>
      <c r="U28" s="35"/>
    </row>
    <row r="29" spans="1:21" x14ac:dyDescent="0.25">
      <c r="A29" s="12" t="s">
        <v>39</v>
      </c>
      <c r="B29" s="79">
        <v>46.64</v>
      </c>
      <c r="C29" s="35">
        <f t="shared" ref="C29:L29" si="23">ROUND(B:B*1.05, 2)</f>
        <v>48.97</v>
      </c>
      <c r="D29" s="35">
        <f t="shared" si="23"/>
        <v>51.42</v>
      </c>
      <c r="E29" s="35">
        <f t="shared" si="23"/>
        <v>53.99</v>
      </c>
      <c r="F29" s="35">
        <f t="shared" si="23"/>
        <v>56.69</v>
      </c>
      <c r="G29" s="35">
        <f t="shared" si="23"/>
        <v>59.52</v>
      </c>
      <c r="H29" s="35">
        <f t="shared" si="23"/>
        <v>62.5</v>
      </c>
      <c r="I29" s="35">
        <f t="shared" si="23"/>
        <v>65.63</v>
      </c>
      <c r="J29" s="35">
        <f t="shared" si="23"/>
        <v>68.91</v>
      </c>
      <c r="K29" s="35">
        <f t="shared" si="23"/>
        <v>72.36</v>
      </c>
      <c r="L29" s="36">
        <f t="shared" si="23"/>
        <v>75.98</v>
      </c>
      <c r="M29" s="35"/>
      <c r="N29" s="35">
        <f xml:space="preserve"> (ROUND(B:B*1.65,2)-B:B)/2+B:B</f>
        <v>61.8</v>
      </c>
      <c r="O29" s="79">
        <v>61.8</v>
      </c>
      <c r="P29" s="81">
        <v>76.959999999999994</v>
      </c>
      <c r="Q29" s="87"/>
      <c r="R29" s="42" t="s">
        <v>39</v>
      </c>
      <c r="S29" s="31">
        <v>46.64</v>
      </c>
      <c r="T29" s="35">
        <f>(U29:U29-S29:S29)/2+S29</f>
        <v>61.8</v>
      </c>
      <c r="U29" s="38">
        <f>ROUND((S29:S29*1.65),2)</f>
        <v>76.959999999999994</v>
      </c>
    </row>
    <row r="30" spans="1:21" x14ac:dyDescent="0.25">
      <c r="A30" s="12" t="s">
        <v>40</v>
      </c>
      <c r="B30" s="79">
        <v>39.979999999999997</v>
      </c>
      <c r="C30" s="35">
        <f t="shared" ref="C30:L30" si="24">ROUND(B:B*1.05, 2)</f>
        <v>41.98</v>
      </c>
      <c r="D30" s="35">
        <f t="shared" si="24"/>
        <v>44.08</v>
      </c>
      <c r="E30" s="35">
        <f t="shared" si="24"/>
        <v>46.28</v>
      </c>
      <c r="F30" s="35">
        <f t="shared" si="24"/>
        <v>48.59</v>
      </c>
      <c r="G30" s="35">
        <f t="shared" si="24"/>
        <v>51.02</v>
      </c>
      <c r="H30" s="35">
        <f t="shared" si="24"/>
        <v>53.57</v>
      </c>
      <c r="I30" s="35">
        <f t="shared" si="24"/>
        <v>56.25</v>
      </c>
      <c r="J30" s="35">
        <f t="shared" si="24"/>
        <v>59.06</v>
      </c>
      <c r="K30" s="35">
        <f t="shared" si="24"/>
        <v>62.01</v>
      </c>
      <c r="L30" s="36">
        <f t="shared" si="24"/>
        <v>65.11</v>
      </c>
      <c r="M30" s="35"/>
      <c r="N30" s="35">
        <f xml:space="preserve"> (ROUND(B:B*1.65,2)-B:B)/2+B:B</f>
        <v>52.974999999999994</v>
      </c>
      <c r="O30" s="79">
        <v>52.974999999999994</v>
      </c>
      <c r="P30" s="81">
        <v>65.97</v>
      </c>
      <c r="Q30" s="87"/>
      <c r="R30" s="42" t="s">
        <v>40</v>
      </c>
      <c r="S30" s="31">
        <v>39.979999999999997</v>
      </c>
      <c r="T30" s="35">
        <f>(U30:U30-S30:S30)/2+S30</f>
        <v>52.974999999999994</v>
      </c>
      <c r="U30" s="38">
        <f>ROUND((S30:S30*1.65),2)</f>
        <v>65.97</v>
      </c>
    </row>
    <row r="31" spans="1:21" x14ac:dyDescent="0.25">
      <c r="A31" s="12" t="s">
        <v>41</v>
      </c>
      <c r="B31" s="79">
        <v>42.64</v>
      </c>
      <c r="C31" s="35">
        <f t="shared" ref="C31:L31" si="25">ROUND(B:B*1.05, 2)</f>
        <v>44.77</v>
      </c>
      <c r="D31" s="35">
        <f t="shared" si="25"/>
        <v>47.01</v>
      </c>
      <c r="E31" s="35">
        <f t="shared" si="25"/>
        <v>49.36</v>
      </c>
      <c r="F31" s="35">
        <f t="shared" si="25"/>
        <v>51.83</v>
      </c>
      <c r="G31" s="35">
        <f t="shared" si="25"/>
        <v>54.42</v>
      </c>
      <c r="H31" s="35">
        <f t="shared" si="25"/>
        <v>57.14</v>
      </c>
      <c r="I31" s="35">
        <f t="shared" si="25"/>
        <v>60</v>
      </c>
      <c r="J31" s="35">
        <f t="shared" si="25"/>
        <v>63</v>
      </c>
      <c r="K31" s="35">
        <f t="shared" si="25"/>
        <v>66.150000000000006</v>
      </c>
      <c r="L31" s="36">
        <f t="shared" si="25"/>
        <v>69.459999999999994</v>
      </c>
      <c r="M31" s="35"/>
      <c r="N31" s="35">
        <f xml:space="preserve"> (ROUND(B:B*1.65,2)-B:B)/2+B:B</f>
        <v>56.5</v>
      </c>
      <c r="O31" s="79">
        <v>56.5</v>
      </c>
      <c r="P31" s="81">
        <v>70.36</v>
      </c>
      <c r="Q31" s="87"/>
      <c r="R31" s="42" t="s">
        <v>41</v>
      </c>
      <c r="S31" s="31">
        <v>42.64</v>
      </c>
      <c r="T31" s="35">
        <f>(U31:U31-S31:S31)/2+S31</f>
        <v>56.5</v>
      </c>
      <c r="U31" s="38">
        <f xml:space="preserve"> ROUND((S31:S31*1.65),2)</f>
        <v>70.36</v>
      </c>
    </row>
    <row r="32" spans="1:21" x14ac:dyDescent="0.25">
      <c r="A32" s="10"/>
      <c r="B32" s="76"/>
      <c r="C32" s="1"/>
      <c r="D32" s="1"/>
      <c r="E32" s="1"/>
      <c r="F32" s="1"/>
      <c r="G32" s="1"/>
      <c r="H32" s="1"/>
      <c r="I32" s="3"/>
      <c r="J32" s="3"/>
      <c r="K32" s="1"/>
      <c r="L32" s="2"/>
      <c r="M32" s="1"/>
      <c r="N32" s="3"/>
      <c r="O32" s="76" t="s">
        <v>15</v>
      </c>
      <c r="P32" s="82"/>
      <c r="Q32" s="84"/>
      <c r="R32" s="3"/>
      <c r="S32" s="5"/>
      <c r="T32" s="3"/>
      <c r="U32" s="3"/>
    </row>
  </sheetData>
  <sheetProtection password="CD70" sheet="1" objects="1" scenarios="1"/>
  <protectedRanges>
    <protectedRange password="CA29" sqref="T1:U32" name="Range3"/>
    <protectedRange password="CA29" sqref="A1:A5 C1:R32 A6:B32" name="Range1"/>
    <protectedRange password="C66A" sqref="S1:S32" name="Range2"/>
  </protectedRanges>
  <pageMargins left="0.7" right="0.7" top="0.75" bottom="0.75" header="0.3" footer="0.3"/>
  <pageSetup scale="84" fitToHeight="0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AE170E257AE47B4C1A1454270B897" ma:contentTypeVersion="4" ma:contentTypeDescription="Create a new document." ma:contentTypeScope="" ma:versionID="bd65fae3501a225229a83825e1e18291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277e018cf80a9c1f53eeb1e0ff65f973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29161E-6F1D-4C1B-9425-2260BA747548}"/>
</file>

<file path=customXml/itemProps2.xml><?xml version="1.0" encoding="utf-8"?>
<ds:datastoreItem xmlns:ds="http://schemas.openxmlformats.org/officeDocument/2006/customXml" ds:itemID="{BBFFE21F-5B3D-46CC-B369-F62154F6FA72}"/>
</file>

<file path=customXml/itemProps3.xml><?xml version="1.0" encoding="utf-8"?>
<ds:datastoreItem xmlns:ds="http://schemas.openxmlformats.org/officeDocument/2006/customXml" ds:itemID="{FA735033-B16E-4D1E-9083-3417D1854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2% scale used for appointments</vt:lpstr>
      <vt:lpstr>5% scale used for appointments</vt:lpstr>
      <vt:lpstr>Sheet3</vt:lpstr>
      <vt:lpstr>'2% scale used for appointments'!Print_Area</vt:lpstr>
    </vt:vector>
  </TitlesOfParts>
  <Company>Commonwealth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Boling, Jason (CHFS PH)</dc:creator>
  <cp:lastModifiedBy>Boling, Jason (CHFS PH)</cp:lastModifiedBy>
  <cp:lastPrinted>2015-11-12T15:46:08Z</cp:lastPrinted>
  <dcterms:created xsi:type="dcterms:W3CDTF">2015-10-29T13:12:16Z</dcterms:created>
  <dcterms:modified xsi:type="dcterms:W3CDTF">2016-07-15T14:12:39Z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0x010100C41AE170E257AE47B4C1A1454270B897</vt:lpwstr>
  </property>
</Properties>
</file>